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835" windowWidth="19230" windowHeight="5445" tabRatio="802"/>
  </bookViews>
  <sheets>
    <sheet name="Edukiak" sheetId="22" r:id="rId1"/>
    <sheet name="KF-B" sheetId="11" r:id="rId2"/>
    <sheet name="KF-E" sheetId="15" r:id="rId3"/>
    <sheet name="KF-K&amp;L" sheetId="16" r:id="rId4"/>
    <sheet name="KF-Z" sheetId="17" r:id="rId5"/>
    <sheet name="G&amp;I" sheetId="18" r:id="rId6"/>
    <sheet name="Balantzea" sheetId="19" r:id="rId7"/>
    <sheet name="Bezeroen baliabideak" sheetId="20" r:id="rId8"/>
    <sheet name="Bezeroen maileguak" sheetId="21" r:id="rId9"/>
    <sheet name="Berankortasuna" sheetId="24" r:id="rId10"/>
    <sheet name="Kaudimena" sheetId="2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Balantzea!$A$4:$K$65</definedName>
    <definedName name="_xlnm.Print_Area" localSheetId="9">Berankortasuna!$A$4:$K$65</definedName>
    <definedName name="_xlnm.Print_Area" localSheetId="7">'Bezeroen baliabideak'!$A$4:$K$65</definedName>
    <definedName name="_xlnm.Print_Area" localSheetId="8">'Bezeroen maileguak'!$A$4:$K$65</definedName>
    <definedName name="_xlnm.Print_Area" localSheetId="5">'G&amp;I'!$A$4:$K$65</definedName>
    <definedName name="_xlnm.Print_Area" localSheetId="10">Kaudimena!$A$4:$K$65</definedName>
    <definedName name="_xlnm.Print_Area" localSheetId="1">'KF-B'!$A$4:$K$65</definedName>
    <definedName name="_xlnm.Print_Area" localSheetId="2">'KF-E'!$A$4:$K$65</definedName>
    <definedName name="_xlnm.Print_Area" localSheetId="3">'KF-K&amp;L'!$A$4:$K$65</definedName>
    <definedName name="_xlnm.Print_Area" localSheetId="4">'KF-Z'!$A$4:$K$65</definedName>
  </definedNames>
  <calcPr calcId="145621"/>
</workbook>
</file>

<file path=xl/calcChain.xml><?xml version="1.0" encoding="utf-8"?>
<calcChain xmlns="http://schemas.openxmlformats.org/spreadsheetml/2006/main">
  <c r="H36" i="24" l="1"/>
  <c r="H34" i="24"/>
  <c r="H20" i="24"/>
  <c r="H18" i="24"/>
  <c r="F40" i="16"/>
  <c r="F23" i="16"/>
  <c r="E23" i="16"/>
  <c r="G16" i="16" l="1"/>
  <c r="G17" i="16"/>
  <c r="G19" i="16"/>
  <c r="G15" i="16"/>
  <c r="F33" i="23" l="1"/>
  <c r="F29" i="23"/>
  <c r="I21" i="18" l="1"/>
  <c r="I18" i="18"/>
  <c r="F23" i="21" l="1"/>
  <c r="F22" i="21"/>
  <c r="F21" i="21"/>
  <c r="F20" i="21"/>
  <c r="F19" i="21"/>
  <c r="F18" i="21"/>
  <c r="F17" i="21"/>
  <c r="F32" i="23" l="1"/>
  <c r="F31" i="23"/>
  <c r="F25" i="23"/>
  <c r="F24" i="23"/>
  <c r="F23" i="23"/>
  <c r="F22" i="23"/>
  <c r="F21" i="23"/>
  <c r="F20" i="23"/>
  <c r="F19" i="23"/>
  <c r="F18" i="23"/>
  <c r="F17" i="23"/>
  <c r="F16" i="23"/>
  <c r="F15" i="23"/>
  <c r="G23" i="21" l="1"/>
  <c r="G22" i="21"/>
  <c r="G21" i="21"/>
  <c r="G20" i="21"/>
  <c r="G19" i="21"/>
  <c r="G18" i="21"/>
  <c r="G17" i="21"/>
  <c r="G41" i="21" l="1"/>
  <c r="G40" i="21"/>
  <c r="G39" i="21"/>
  <c r="G38" i="21"/>
  <c r="G37" i="21"/>
  <c r="G36" i="21"/>
  <c r="G35" i="21"/>
  <c r="F39" i="16" l="1"/>
  <c r="F38" i="16"/>
  <c r="F22" i="16"/>
  <c r="F21" i="16"/>
  <c r="E22" i="16"/>
  <c r="G22" i="16" s="1"/>
  <c r="E21" i="16"/>
  <c r="G21" i="16" s="1"/>
  <c r="G23" i="16" l="1"/>
  <c r="F38" i="11" l="1"/>
  <c r="F16" i="11"/>
  <c r="E16" i="11"/>
  <c r="I41" i="18" l="1"/>
  <c r="I40" i="18"/>
  <c r="I39" i="18"/>
  <c r="I38" i="18"/>
  <c r="I36" i="18"/>
  <c r="I35" i="18"/>
  <c r="I34" i="18"/>
  <c r="I33" i="18"/>
  <c r="I31" i="18"/>
  <c r="I30" i="18"/>
  <c r="I28" i="18"/>
  <c r="I26" i="18"/>
  <c r="I25" i="18"/>
  <c r="I24" i="18"/>
  <c r="I20" i="18"/>
  <c r="I19" i="18"/>
  <c r="I17" i="18"/>
  <c r="I16" i="18"/>
  <c r="I15" i="18"/>
  <c r="G55" i="19"/>
  <c r="G54" i="19"/>
  <c r="G53" i="19"/>
  <c r="G51" i="19"/>
  <c r="G50" i="19"/>
  <c r="G49" i="19"/>
  <c r="G48" i="19"/>
  <c r="G47" i="19"/>
  <c r="G46" i="19"/>
  <c r="G45" i="19"/>
  <c r="G44" i="19"/>
  <c r="G43" i="19"/>
  <c r="G42" i="19"/>
  <c r="G40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5" i="19"/>
  <c r="G24" i="19"/>
  <c r="G22" i="19"/>
  <c r="G21" i="19"/>
  <c r="G19" i="19"/>
  <c r="G18" i="19"/>
  <c r="G17" i="19"/>
  <c r="G15" i="19"/>
  <c r="G23" i="19" l="1"/>
  <c r="I29" i="18"/>
  <c r="I23" i="18"/>
  <c r="I22" i="18"/>
  <c r="G56" i="19"/>
  <c r="G41" i="19"/>
  <c r="G52" i="19" s="1"/>
  <c r="G26" i="19"/>
  <c r="G20" i="19"/>
  <c r="G16" i="19"/>
  <c r="G61" i="23"/>
  <c r="G60" i="23"/>
  <c r="G59" i="23"/>
  <c r="G53" i="23"/>
  <c r="G52" i="23"/>
  <c r="G51" i="23"/>
  <c r="G50" i="23"/>
  <c r="G49" i="23"/>
  <c r="G48" i="23"/>
  <c r="G47" i="23"/>
  <c r="G46" i="23"/>
  <c r="G45" i="23"/>
  <c r="G44" i="23"/>
  <c r="G43" i="23"/>
  <c r="G33" i="23"/>
  <c r="G32" i="23"/>
  <c r="G31" i="23"/>
  <c r="G29" i="23"/>
  <c r="G39" i="19" l="1"/>
  <c r="I27" i="18"/>
  <c r="I32" i="18" s="1"/>
  <c r="I37" i="18" s="1"/>
  <c r="G57" i="19"/>
  <c r="G25" i="23"/>
  <c r="G24" i="23"/>
  <c r="G23" i="23"/>
  <c r="G22" i="23"/>
  <c r="G21" i="23"/>
  <c r="G20" i="23"/>
  <c r="G19" i="23"/>
  <c r="G18" i="23"/>
  <c r="G17" i="23"/>
  <c r="G16" i="23"/>
  <c r="G15" i="23"/>
  <c r="G35" i="24" l="1"/>
  <c r="G33" i="24"/>
  <c r="G19" i="24"/>
  <c r="G17" i="24"/>
  <c r="F19" i="24"/>
  <c r="F17" i="24"/>
  <c r="G16" i="21"/>
  <c r="F16" i="21"/>
  <c r="G34" i="21"/>
  <c r="G42" i="20"/>
  <c r="G41" i="20"/>
  <c r="G40" i="20"/>
  <c r="G38" i="20"/>
  <c r="G21" i="20"/>
  <c r="G20" i="20"/>
  <c r="G19" i="20"/>
  <c r="G17" i="20"/>
  <c r="F21" i="20"/>
  <c r="F20" i="20"/>
  <c r="F19" i="20"/>
  <c r="F17" i="20"/>
  <c r="F36" i="17"/>
  <c r="F35" i="17"/>
  <c r="F34" i="17"/>
  <c r="F33" i="17"/>
  <c r="F32" i="17"/>
  <c r="F31" i="17"/>
  <c r="F20" i="17"/>
  <c r="F19" i="17"/>
  <c r="F18" i="17"/>
  <c r="F17" i="17"/>
  <c r="F16" i="17"/>
  <c r="F15" i="17"/>
  <c r="E20" i="17"/>
  <c r="E19" i="17"/>
  <c r="E18" i="17"/>
  <c r="E17" i="17"/>
  <c r="E16" i="17"/>
  <c r="E15" i="17"/>
  <c r="F35" i="15" l="1"/>
  <c r="F33" i="15"/>
  <c r="F31" i="15"/>
  <c r="F19" i="15"/>
  <c r="F17" i="15"/>
  <c r="F16" i="15"/>
  <c r="F15" i="15"/>
  <c r="F47" i="11" l="1"/>
  <c r="F45" i="11"/>
  <c r="F43" i="11"/>
  <c r="F42" i="11"/>
  <c r="F25" i="11" l="1"/>
  <c r="F23" i="11"/>
  <c r="F21" i="11"/>
  <c r="F20" i="11"/>
  <c r="E25" i="11"/>
  <c r="E23" i="11"/>
  <c r="E21" i="11" l="1"/>
  <c r="E20" i="11"/>
  <c r="I55" i="19" l="1"/>
  <c r="I54" i="19"/>
  <c r="I53" i="19"/>
  <c r="I51" i="19"/>
  <c r="I50" i="19"/>
  <c r="I49" i="19"/>
  <c r="I48" i="19"/>
  <c r="I47" i="19"/>
  <c r="I46" i="19"/>
  <c r="I45" i="19"/>
  <c r="I44" i="19"/>
  <c r="I43" i="19"/>
  <c r="I42" i="19"/>
  <c r="I40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5" i="19"/>
  <c r="I24" i="19"/>
  <c r="I22" i="19"/>
  <c r="I21" i="19"/>
  <c r="I19" i="19"/>
  <c r="I18" i="19"/>
  <c r="I17" i="19"/>
  <c r="I15" i="19"/>
  <c r="H41" i="18" l="1"/>
  <c r="H40" i="18"/>
  <c r="H39" i="18"/>
  <c r="H38" i="18"/>
  <c r="H36" i="18"/>
  <c r="H35" i="18"/>
  <c r="H34" i="18"/>
  <c r="H33" i="18"/>
  <c r="H31" i="18"/>
  <c r="H30" i="18"/>
  <c r="H28" i="18"/>
  <c r="H26" i="18"/>
  <c r="H25" i="18"/>
  <c r="H24" i="18"/>
  <c r="H21" i="18"/>
  <c r="H20" i="18"/>
  <c r="H19" i="18"/>
  <c r="H18" i="18"/>
  <c r="H17" i="18"/>
  <c r="H16" i="18"/>
  <c r="H15" i="18"/>
  <c r="F55" i="19"/>
  <c r="F54" i="19"/>
  <c r="F53" i="19"/>
  <c r="F51" i="19"/>
  <c r="F50" i="19"/>
  <c r="F49" i="19"/>
  <c r="F48" i="19"/>
  <c r="F47" i="19"/>
  <c r="F46" i="19"/>
  <c r="F45" i="19"/>
  <c r="F44" i="19"/>
  <c r="F43" i="19"/>
  <c r="F42" i="19"/>
  <c r="F40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5" i="19"/>
  <c r="F24" i="19"/>
  <c r="F22" i="19"/>
  <c r="F21" i="19"/>
  <c r="F19" i="19"/>
  <c r="F18" i="19"/>
  <c r="F17" i="19"/>
  <c r="F15" i="19"/>
  <c r="F39" i="11" l="1"/>
  <c r="H19" i="24" l="1"/>
  <c r="G20" i="24" l="1"/>
  <c r="G36" i="24"/>
  <c r="F20" i="24"/>
  <c r="F22" i="11" l="1"/>
  <c r="F17" i="11"/>
  <c r="I56" i="19"/>
  <c r="I41" i="19"/>
  <c r="I52" i="19" s="1"/>
  <c r="I26" i="19"/>
  <c r="I23" i="19"/>
  <c r="I20" i="19"/>
  <c r="I16" i="19"/>
  <c r="I57" i="19" l="1"/>
  <c r="I39" i="19"/>
  <c r="J35" i="18" l="1"/>
  <c r="J15" i="18" l="1"/>
  <c r="E22" i="11" l="1"/>
  <c r="E24" i="11" s="1"/>
  <c r="F16" i="20" s="1"/>
  <c r="E17" i="11"/>
  <c r="F18" i="20" l="1"/>
  <c r="E26" i="11"/>
  <c r="E27" i="11" s="1"/>
  <c r="F41" i="19"/>
  <c r="H27" i="19"/>
  <c r="J27" i="19" l="1"/>
  <c r="E19" i="16" l="1"/>
  <c r="F37" i="16" l="1"/>
  <c r="G37" i="16" s="1"/>
  <c r="F19" i="16"/>
  <c r="F15" i="11" l="1"/>
  <c r="G33" i="21"/>
  <c r="G15" i="21"/>
  <c r="F15" i="21" l="1"/>
  <c r="F26" i="19"/>
  <c r="F20" i="19"/>
  <c r="J41" i="18"/>
  <c r="J33" i="18"/>
  <c r="F56" i="19" l="1"/>
  <c r="F35" i="24" l="1"/>
  <c r="H35" i="24" s="1"/>
  <c r="F33" i="24"/>
  <c r="H33" i="24" s="1"/>
  <c r="G32" i="24"/>
  <c r="G31" i="24"/>
  <c r="F41" i="21"/>
  <c r="F40" i="21"/>
  <c r="H40" i="21" s="1"/>
  <c r="F39" i="21"/>
  <c r="H39" i="21" s="1"/>
  <c r="F38" i="21"/>
  <c r="F37" i="21"/>
  <c r="H37" i="21" s="1"/>
  <c r="F36" i="21"/>
  <c r="H36" i="21" s="1"/>
  <c r="G16" i="24"/>
  <c r="F34" i="21"/>
  <c r="H34" i="21" s="1"/>
  <c r="G15" i="24"/>
  <c r="F33" i="21"/>
  <c r="H33" i="21" l="1"/>
  <c r="F16" i="24"/>
  <c r="H16" i="24" s="1"/>
  <c r="F32" i="24"/>
  <c r="H32" i="24" s="1"/>
  <c r="F15" i="24"/>
  <c r="F31" i="24"/>
  <c r="H31" i="24" s="1"/>
  <c r="H38" i="21"/>
  <c r="H41" i="21"/>
  <c r="G18" i="24"/>
  <c r="G34" i="24"/>
  <c r="H15" i="24"/>
  <c r="H17" i="24"/>
  <c r="H15" i="21"/>
  <c r="H16" i="21"/>
  <c r="H18" i="21"/>
  <c r="H19" i="21"/>
  <c r="H20" i="21"/>
  <c r="H21" i="21"/>
  <c r="H22" i="21"/>
  <c r="H23" i="21"/>
  <c r="F18" i="24" l="1"/>
  <c r="F36" i="24"/>
  <c r="F34" i="24"/>
  <c r="F60" i="23" l="1"/>
  <c r="F59" i="23"/>
  <c r="F36" i="16" l="1"/>
  <c r="G36" i="16" s="1"/>
  <c r="E40" i="16" l="1"/>
  <c r="G40" i="16" s="1"/>
  <c r="G45" i="20"/>
  <c r="G24" i="20" l="1"/>
  <c r="E45" i="11"/>
  <c r="G45" i="11" s="1"/>
  <c r="E44" i="11"/>
  <c r="E43" i="11"/>
  <c r="G43" i="11" s="1"/>
  <c r="F24" i="20" l="1"/>
  <c r="F25" i="20" s="1"/>
  <c r="E47" i="11"/>
  <c r="G47" i="11" s="1"/>
  <c r="G21" i="11"/>
  <c r="G23" i="11"/>
  <c r="G25" i="11"/>
  <c r="E46" i="11" l="1"/>
  <c r="F50" i="11"/>
  <c r="F40" i="11"/>
  <c r="F41" i="11"/>
  <c r="F28" i="11"/>
  <c r="F18" i="11"/>
  <c r="F19" i="11"/>
  <c r="G15" i="20" l="1"/>
  <c r="G36" i="20"/>
  <c r="F44" i="11"/>
  <c r="E49" i="11"/>
  <c r="E48" i="11"/>
  <c r="F46" i="11" l="1"/>
  <c r="F48" i="11" s="1"/>
  <c r="F49" i="11" s="1"/>
  <c r="G44" i="11"/>
  <c r="F24" i="11"/>
  <c r="F26" i="11" s="1"/>
  <c r="F27" i="11" s="1"/>
  <c r="G22" i="11"/>
  <c r="F45" i="20"/>
  <c r="H45" i="20" s="1"/>
  <c r="F42" i="20"/>
  <c r="H42" i="20" s="1"/>
  <c r="F37" i="20"/>
  <c r="E42" i="11"/>
  <c r="G42" i="11" s="1"/>
  <c r="G16" i="20" l="1"/>
  <c r="G24" i="11"/>
  <c r="G37" i="20"/>
  <c r="G46" i="11"/>
  <c r="H21" i="20"/>
  <c r="G20" i="11"/>
  <c r="H16" i="20"/>
  <c r="H24" i="20"/>
  <c r="G49" i="11" l="1"/>
  <c r="G48" i="11"/>
  <c r="G39" i="20"/>
  <c r="G46" i="20"/>
  <c r="G18" i="20"/>
  <c r="G25" i="20"/>
  <c r="H25" i="20" s="1"/>
  <c r="G27" i="11"/>
  <c r="G26" i="11"/>
  <c r="H37" i="20"/>
  <c r="F46" i="20"/>
  <c r="H46" i="20" s="1"/>
  <c r="F43" i="23" l="1"/>
  <c r="H15" i="23"/>
  <c r="F44" i="23"/>
  <c r="H44" i="23" s="1"/>
  <c r="H16" i="23"/>
  <c r="F45" i="23"/>
  <c r="H45" i="23" s="1"/>
  <c r="H17" i="23"/>
  <c r="F46" i="23"/>
  <c r="H46" i="23" s="1"/>
  <c r="H18" i="23"/>
  <c r="F47" i="23"/>
  <c r="H47" i="23" s="1"/>
  <c r="H19" i="23"/>
  <c r="F48" i="23"/>
  <c r="H48" i="23" s="1"/>
  <c r="H20" i="23"/>
  <c r="F49" i="23"/>
  <c r="H49" i="23" s="1"/>
  <c r="H21" i="23"/>
  <c r="F50" i="23"/>
  <c r="H22" i="23"/>
  <c r="F51" i="23"/>
  <c r="H51" i="23" s="1"/>
  <c r="H23" i="23"/>
  <c r="F52" i="23"/>
  <c r="H52" i="23" s="1"/>
  <c r="H24" i="23"/>
  <c r="F53" i="23"/>
  <c r="H53" i="23" s="1"/>
  <c r="H25" i="23"/>
  <c r="F26" i="23"/>
  <c r="G26" i="23"/>
  <c r="F27" i="23"/>
  <c r="G27" i="23"/>
  <c r="F28" i="23"/>
  <c r="G28" i="23"/>
  <c r="H31" i="23"/>
  <c r="H32" i="23"/>
  <c r="H43" i="23"/>
  <c r="H50" i="23"/>
  <c r="G54" i="23"/>
  <c r="G55" i="23"/>
  <c r="G56" i="23"/>
  <c r="H59" i="23"/>
  <c r="H60" i="23"/>
  <c r="H28" i="23" l="1"/>
  <c r="H27" i="23"/>
  <c r="H26" i="23"/>
  <c r="F34" i="16"/>
  <c r="G34" i="16" s="1"/>
  <c r="F33" i="16"/>
  <c r="G33" i="16" s="1"/>
  <c r="F32" i="16"/>
  <c r="G32" i="16" s="1"/>
  <c r="F61" i="23"/>
  <c r="H61" i="23" s="1"/>
  <c r="E20" i="16"/>
  <c r="F57" i="23"/>
  <c r="E18" i="16"/>
  <c r="F17" i="16"/>
  <c r="F16" i="16"/>
  <c r="F15" i="16"/>
  <c r="F56" i="23"/>
  <c r="H56" i="23" s="1"/>
  <c r="E17" i="16"/>
  <c r="F55" i="23"/>
  <c r="H55" i="23" s="1"/>
  <c r="E16" i="16"/>
  <c r="F54" i="23"/>
  <c r="H54" i="23" s="1"/>
  <c r="E15" i="16"/>
  <c r="F38" i="20"/>
  <c r="H38" i="20" s="1"/>
  <c r="H17" i="20"/>
  <c r="F40" i="20"/>
  <c r="H40" i="20" s="1"/>
  <c r="H19" i="20"/>
  <c r="F41" i="20"/>
  <c r="H41" i="20" s="1"/>
  <c r="H20" i="20"/>
  <c r="F39" i="20" l="1"/>
  <c r="H39" i="20" s="1"/>
  <c r="H18" i="20"/>
  <c r="H28" i="19" l="1"/>
  <c r="F37" i="11" l="1"/>
  <c r="F15" i="20"/>
  <c r="H42" i="19"/>
  <c r="H40" i="19"/>
  <c r="E18" i="11"/>
  <c r="E40" i="11" s="1"/>
  <c r="G40" i="11" s="1"/>
  <c r="E19" i="11"/>
  <c r="E41" i="11" s="1"/>
  <c r="G41" i="11" s="1"/>
  <c r="E39" i="11"/>
  <c r="G39" i="11" s="1"/>
  <c r="E38" i="11"/>
  <c r="G38" i="11" s="1"/>
  <c r="F16" i="19"/>
  <c r="J15" i="19"/>
  <c r="J40" i="18"/>
  <c r="J30" i="18"/>
  <c r="J28" i="18"/>
  <c r="J26" i="18"/>
  <c r="J25" i="18"/>
  <c r="J24" i="18"/>
  <c r="J21" i="18"/>
  <c r="J20" i="18"/>
  <c r="J18" i="18"/>
  <c r="J17" i="18"/>
  <c r="J16" i="18"/>
  <c r="G16" i="11" l="1"/>
  <c r="G17" i="11"/>
  <c r="G19" i="11"/>
  <c r="G18" i="11"/>
  <c r="F36" i="20"/>
  <c r="H36" i="20" s="1"/>
  <c r="H15" i="20"/>
  <c r="H53" i="19"/>
  <c r="E28" i="11"/>
  <c r="E50" i="11" s="1"/>
  <c r="G50" i="11" s="1"/>
  <c r="H15" i="19"/>
  <c r="J16" i="19"/>
  <c r="H16" i="19"/>
  <c r="J17" i="19"/>
  <c r="H17" i="19"/>
  <c r="J18" i="19"/>
  <c r="H18" i="19"/>
  <c r="J19" i="19"/>
  <c r="H19" i="19"/>
  <c r="J20" i="19"/>
  <c r="H20" i="19"/>
  <c r="J21" i="19"/>
  <c r="H21" i="19"/>
  <c r="J22" i="19"/>
  <c r="H22" i="19"/>
  <c r="J24" i="19"/>
  <c r="H24" i="19"/>
  <c r="F23" i="19"/>
  <c r="J25" i="19"/>
  <c r="H25" i="19"/>
  <c r="J29" i="19"/>
  <c r="H29" i="19"/>
  <c r="H26" i="19"/>
  <c r="J30" i="19"/>
  <c r="H30" i="19"/>
  <c r="J31" i="19"/>
  <c r="H31" i="19"/>
  <c r="J32" i="19"/>
  <c r="H32" i="19"/>
  <c r="J33" i="19"/>
  <c r="H33" i="19"/>
  <c r="J34" i="19"/>
  <c r="H34" i="19"/>
  <c r="J35" i="19"/>
  <c r="H35" i="19"/>
  <c r="J36" i="19"/>
  <c r="H36" i="19"/>
  <c r="J37" i="19"/>
  <c r="H37" i="19"/>
  <c r="J38" i="19"/>
  <c r="H38" i="19"/>
  <c r="J43" i="19"/>
  <c r="H43" i="19"/>
  <c r="J44" i="19"/>
  <c r="H44" i="19"/>
  <c r="J45" i="19"/>
  <c r="H45" i="19"/>
  <c r="J46" i="19"/>
  <c r="H46" i="19"/>
  <c r="J47" i="19"/>
  <c r="H47" i="19"/>
  <c r="J48" i="19"/>
  <c r="H48" i="19"/>
  <c r="J49" i="19"/>
  <c r="H49" i="19"/>
  <c r="J50" i="19"/>
  <c r="H50" i="19"/>
  <c r="J51" i="19"/>
  <c r="H51" i="19"/>
  <c r="J54" i="19"/>
  <c r="H54" i="19"/>
  <c r="J55" i="19"/>
  <c r="H55" i="19"/>
  <c r="J26" i="19"/>
  <c r="J28" i="19"/>
  <c r="J40" i="19"/>
  <c r="F52" i="19"/>
  <c r="J42" i="19"/>
  <c r="J53" i="19"/>
  <c r="H22" i="18"/>
  <c r="H29" i="18"/>
  <c r="J29" i="18" s="1"/>
  <c r="F39" i="19"/>
  <c r="E15" i="11" l="1"/>
  <c r="E37" i="11" s="1"/>
  <c r="G37" i="11" s="1"/>
  <c r="E38" i="16"/>
  <c r="G38" i="16" s="1"/>
  <c r="E39" i="16"/>
  <c r="G39" i="16" s="1"/>
  <c r="G28" i="11"/>
  <c r="J39" i="19"/>
  <c r="H39" i="19"/>
  <c r="J56" i="19"/>
  <c r="H56" i="19"/>
  <c r="J41" i="19"/>
  <c r="H41" i="19"/>
  <c r="H23" i="19"/>
  <c r="J23" i="19"/>
  <c r="H52" i="19"/>
  <c r="J22" i="18"/>
  <c r="G15" i="11" l="1"/>
  <c r="E37" i="16"/>
  <c r="E35" i="16"/>
  <c r="F57" i="19"/>
  <c r="J52" i="19"/>
  <c r="J57" i="19" l="1"/>
  <c r="H57" i="19"/>
  <c r="H23" i="18" l="1"/>
  <c r="J23" i="18" l="1"/>
  <c r="H27" i="18"/>
  <c r="H32" i="18" s="1"/>
  <c r="H37" i="18" s="1"/>
  <c r="J27" i="18" l="1"/>
  <c r="J37" i="18" l="1"/>
  <c r="J32" i="18"/>
  <c r="E31" i="17" l="1"/>
  <c r="G31" i="17" s="1"/>
  <c r="G15" i="17"/>
  <c r="E32" i="17"/>
  <c r="G32" i="17" s="1"/>
  <c r="G16" i="17"/>
  <c r="E34" i="17" l="1"/>
  <c r="G34" i="17" s="1"/>
  <c r="G18" i="17"/>
  <c r="G19" i="17"/>
  <c r="E35" i="17"/>
  <c r="G35" i="17" s="1"/>
  <c r="G20" i="17"/>
  <c r="E36" i="17"/>
  <c r="G36" i="17" s="1"/>
  <c r="E36" i="16"/>
  <c r="E32" i="16"/>
  <c r="G17" i="17" l="1"/>
  <c r="E33" i="17"/>
  <c r="G33" i="17" s="1"/>
  <c r="E33" i="16"/>
  <c r="E34" i="16" l="1"/>
  <c r="J39" i="18" l="1"/>
  <c r="F35" i="21" l="1"/>
  <c r="H35" i="21" s="1"/>
  <c r="H17" i="21"/>
  <c r="F18" i="16" l="1"/>
  <c r="G18" i="16" s="1"/>
  <c r="H29" i="23"/>
  <c r="F20" i="16" l="1"/>
  <c r="G20" i="16" s="1"/>
  <c r="H33" i="23"/>
  <c r="G57" i="23" l="1"/>
  <c r="F35" i="16" l="1"/>
  <c r="G35" i="16" s="1"/>
  <c r="H57" i="23"/>
  <c r="F23" i="20" l="1"/>
  <c r="F22" i="20" l="1"/>
  <c r="F44" i="20"/>
  <c r="F43" i="20" l="1"/>
  <c r="G43" i="20" l="1"/>
  <c r="H43" i="20" s="1"/>
  <c r="G44" i="20" l="1"/>
  <c r="H44" i="20" s="1"/>
  <c r="G23" i="20" l="1"/>
  <c r="H23" i="20" s="1"/>
  <c r="G22" i="20"/>
  <c r="H22" i="20" s="1"/>
  <c r="F18" i="15" l="1"/>
  <c r="F34" i="15" l="1"/>
  <c r="F32" i="15" l="1"/>
  <c r="E18" i="15" l="1"/>
  <c r="G18" i="15" s="1"/>
  <c r="E34" i="15" l="1"/>
  <c r="G34" i="15" s="1"/>
  <c r="E16" i="15"/>
  <c r="G16" i="15" s="1"/>
  <c r="E15" i="15"/>
  <c r="G15" i="15" s="1"/>
  <c r="E31" i="15" l="1"/>
  <c r="G31" i="15" s="1"/>
  <c r="E32" i="15"/>
  <c r="G32" i="15" s="1"/>
  <c r="E17" i="15" l="1"/>
  <c r="G17" i="15" s="1"/>
  <c r="E33" i="15" l="1"/>
  <c r="G33" i="15" s="1"/>
  <c r="E19" i="15" l="1"/>
  <c r="G19" i="15" s="1"/>
  <c r="E35" i="15" l="1"/>
  <c r="G35" i="15" s="1"/>
</calcChain>
</file>

<file path=xl/sharedStrings.xml><?xml version="1.0" encoding="utf-8"?>
<sst xmlns="http://schemas.openxmlformats.org/spreadsheetml/2006/main" count="333" uniqueCount="151">
  <si>
    <t>ROE</t>
  </si>
  <si>
    <t>ROA</t>
  </si>
  <si>
    <t>RORWA</t>
  </si>
  <si>
    <t>ROTE</t>
  </si>
  <si>
    <t>LCR</t>
  </si>
  <si>
    <t>NSFR</t>
  </si>
  <si>
    <t>Pro-forma:</t>
  </si>
  <si>
    <t>Pro-forma CET1 fully loaded</t>
  </si>
  <si>
    <t>LtD</t>
  </si>
  <si>
    <t>2017/III</t>
  </si>
  <si>
    <t>Hiruhileko txostena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</si>
  <si>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Balantzea</t>
    </r>
  </si>
  <si>
    <t>Urte arteko bilakaera</t>
  </si>
  <si>
    <t>Kopuruak milioi eurotan</t>
  </si>
  <si>
    <t>Azken hiruhilekoaren bilakaera</t>
  </si>
  <si>
    <t>Ald.</t>
  </si>
  <si>
    <t>2016/III</t>
  </si>
  <si>
    <t>Aktibo Osoa</t>
  </si>
  <si>
    <t>Zorra adierazten duten baloreak</t>
  </si>
  <si>
    <t>Kapital-tresnak (SE)</t>
  </si>
  <si>
    <t>Partaidetzak</t>
  </si>
  <si>
    <t>Bezeroen maileguak</t>
  </si>
  <si>
    <t>Zordunketak-Balore negoziagarriak</t>
  </si>
  <si>
    <t>Horietatik mendeko zorra</t>
  </si>
  <si>
    <t>Bezeroen gordailuak</t>
  </si>
  <si>
    <t>Horietatik zedula multilagatzaileak</t>
  </si>
  <si>
    <t>Pro-forma: zedula multilag. salbu</t>
  </si>
  <si>
    <t>Balantzetik kanpoko baliabideak</t>
  </si>
  <si>
    <t>Bezeroen baliabideak osoa</t>
  </si>
  <si>
    <t>Negozio-bolumena</t>
  </si>
  <si>
    <t>Norberaren fondoak</t>
  </si>
  <si>
    <t>2017/II</t>
  </si>
  <si>
    <r>
      <t xml:space="preserve">Kopuru adierazgarrienak. </t>
    </r>
    <r>
      <rPr>
        <sz val="18"/>
        <color theme="1"/>
        <rFont val="Calibri"/>
        <family val="2"/>
        <scheme val="minor"/>
      </rPr>
      <t>Errentagarritasuna</t>
    </r>
  </si>
  <si>
    <t>Eraginkortasun ratioa</t>
  </si>
  <si>
    <r>
      <t xml:space="preserve">Kopuru adierazgarrienak. </t>
    </r>
    <r>
      <rPr>
        <sz val="18"/>
        <color theme="1"/>
        <rFont val="Calibri"/>
        <family val="2"/>
        <scheme val="minor"/>
      </rPr>
      <t>Kapitala&amp;Likidezia</t>
    </r>
  </si>
  <si>
    <t>CET1 ratioa</t>
  </si>
  <si>
    <t>Tier1 ratioa</t>
  </si>
  <si>
    <t>Kapital osoa ratioa</t>
  </si>
  <si>
    <t>Palanka-efektu ratioa</t>
  </si>
  <si>
    <t>Pro-forma palanka-efektu ratioa FL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</si>
  <si>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Beste zifra batzuk</t>
    </r>
  </si>
  <si>
    <t>Unitateak</t>
  </si>
  <si>
    <t>Langile-kopurua</t>
  </si>
  <si>
    <t>Bulego-kopurua</t>
  </si>
  <si>
    <t>Bezero-kopurua</t>
  </si>
  <si>
    <t>Txikizkako bezero-kopurua</t>
  </si>
  <si>
    <t>Handizkako bezero-kopurua</t>
  </si>
  <si>
    <t>Kutxazain-kopurua</t>
  </si>
  <si>
    <t>Galdu-Irabazien Kontua</t>
  </si>
  <si>
    <t>Interes-marjina</t>
  </si>
  <si>
    <t>Dibidenduak</t>
  </si>
  <si>
    <t>Erakundeen emaitza parte-hartze metodoaren bidez baloratuta</t>
  </si>
  <si>
    <t>Komisioen kopuru garbia</t>
  </si>
  <si>
    <t>Finantza Eragiketen emaitza</t>
  </si>
  <si>
    <t>Trukaneurriaren aldeak (garbia)</t>
  </si>
  <si>
    <t>Beste ustiapen-ekoizkin batzuk</t>
  </si>
  <si>
    <t>Marjina gordina</t>
  </si>
  <si>
    <t>Administrazio-gastuak</t>
  </si>
  <si>
    <t>Langile-gastuak</t>
  </si>
  <si>
    <t>Beste administrazio-gastu orokor batzuk</t>
  </si>
  <si>
    <t>Amortizazioa</t>
  </si>
  <si>
    <t>Horniduren aurreko emaitza</t>
  </si>
  <si>
    <t>Hornidurak (garbia)</t>
  </si>
  <si>
    <t>Finantza-aktiboen narriaduraren bidezko galerak</t>
  </si>
  <si>
    <t>Horietatik Hornidurak kreditu-inbertsioa</t>
  </si>
  <si>
    <t>Gainerakoa</t>
  </si>
  <si>
    <t>Ustiapeneko jardueraren emaitza</t>
  </si>
  <si>
    <t>Inbertsioen narriaduraren bidezko galerak</t>
  </si>
  <si>
    <t>Aktibo ez-finantzarioen narriaduraren bidezko galerak</t>
  </si>
  <si>
    <t>Aktibo ez-finantzarioen eta partaidetzen bajaren bidezko Galera Irabaziak</t>
  </si>
  <si>
    <t>Aktibo ez-arrunten Galdu-Irabaziak</t>
  </si>
  <si>
    <t>Zergen aurreko etekina</t>
  </si>
  <si>
    <t>Etekinen gaineko zergengatiko Gastuak/Diru-sarrerak</t>
  </si>
  <si>
    <t>Ekitaldiaren emaitza bateratua</t>
  </si>
  <si>
    <t>Txikizkarien interesei egotzitako emaitza</t>
  </si>
  <si>
    <t>Erakunde nagusiari egotzitako emaitza</t>
  </si>
  <si>
    <t>Balantzea</t>
  </si>
  <si>
    <t>Kutxa eta Gordailuak Banku Zentraletan</t>
  </si>
  <si>
    <t>Negoziatzeko mantendutako Finantza-aktiboak</t>
  </si>
  <si>
    <t>Estaldura-deribatuak</t>
  </si>
  <si>
    <t>Kapital-tresnak</t>
  </si>
  <si>
    <t>Zorra ordezkatzen duten balioak</t>
  </si>
  <si>
    <t>Arrazoizko balioa duten beste finantza-aktibo batzuk, Gal-Ira.-en aldaketekin</t>
  </si>
  <si>
    <t>Salgai dauden finantza-aktiboak</t>
  </si>
  <si>
    <t>Maileguak eta kobratzeko kontu-sailak</t>
  </si>
  <si>
    <t>Banku zentralak</t>
  </si>
  <si>
    <t>Kreditu-erakundeak</t>
  </si>
  <si>
    <t>Mugaegunerako Inbertsio Zorroa</t>
  </si>
  <si>
    <t>Salgai dauden aktibo ez-arruntak</t>
  </si>
  <si>
    <t>Berraseguruagatiko aktiboak</t>
  </si>
  <si>
    <t>Aktibo ukigarriak</t>
  </si>
  <si>
    <t>Aktibo ukiezina</t>
  </si>
  <si>
    <t>Zerga-aktiboak</t>
  </si>
  <si>
    <t>Beste aktibo batzuk</t>
  </si>
  <si>
    <t>AKTIBOA GUZTIRA</t>
  </si>
  <si>
    <t>Negoziatzeko mantendutako Finantza-pasiboak</t>
  </si>
  <si>
    <t>Kostu amortizatuko finantza-pasiboak</t>
  </si>
  <si>
    <t>Banku zentralen gordailuak</t>
  </si>
  <si>
    <t>Kreditu-erakundeen gordailuak</t>
  </si>
  <si>
    <t>Balio negoziagarrietan adierazitako zordunketak</t>
  </si>
  <si>
    <t>Beste finantza-pasibo batzuk</t>
  </si>
  <si>
    <t>Aseguru-kontratuek babestutako pasiboak</t>
  </si>
  <si>
    <t>Hornidurak</t>
  </si>
  <si>
    <t>Zerga-pasiboak</t>
  </si>
  <si>
    <t>Beste pasibo batzuk</t>
  </si>
  <si>
    <t>Pasiboa guztira</t>
  </si>
  <si>
    <t>Funts propioak</t>
  </si>
  <si>
    <t>Balioespenen doikuntzak</t>
  </si>
  <si>
    <t>Gutxiengoen interesak</t>
  </si>
  <si>
    <t>Ondare garbia guztira</t>
  </si>
  <si>
    <t>Ondare garbia eta pasiboa guztira</t>
  </si>
  <si>
    <r>
      <t xml:space="preserve">Bezeroen baliabideak. </t>
    </r>
    <r>
      <rPr>
        <sz val="18"/>
        <color theme="1"/>
        <rFont val="Calibri"/>
        <family val="2"/>
        <scheme val="minor"/>
      </rPr>
      <t>Banakapena</t>
    </r>
  </si>
  <si>
    <t>Sektore publikoa</t>
  </si>
  <si>
    <t>Sektore pribatua</t>
  </si>
  <si>
    <t>Horietatik agerikoak</t>
  </si>
  <si>
    <t>Horietatik aurrezkia</t>
  </si>
  <si>
    <t>Horietatik Aktiboen behin-behineko lagapena</t>
  </si>
  <si>
    <t>Ageriko gordailuak guztira</t>
  </si>
  <si>
    <t>Aurrezki gordailuak guztira</t>
  </si>
  <si>
    <t>Balantzez kanpoko aktiboak</t>
  </si>
  <si>
    <t>Bezeroen baliabideak guztira</t>
  </si>
  <si>
    <r>
      <t xml:space="preserve">Bezeroen maileguak. </t>
    </r>
    <r>
      <rPr>
        <sz val="18"/>
        <color theme="1"/>
        <rFont val="Calibri"/>
        <family val="2"/>
        <scheme val="minor"/>
      </rPr>
      <t>Banakapena</t>
    </r>
  </si>
  <si>
    <t>Pro-forma: Bezeroen mailegu gordinak</t>
  </si>
  <si>
    <t>Horietatik bermearekin</t>
  </si>
  <si>
    <t>Horietatik bermerik gabe</t>
  </si>
  <si>
    <t>Partikularrak</t>
  </si>
  <si>
    <r>
      <t xml:space="preserve">Berankortasuna. </t>
    </r>
    <r>
      <rPr>
        <sz val="18"/>
        <color theme="1"/>
        <rFont val="Calibri"/>
        <family val="2"/>
        <scheme val="minor"/>
      </rPr>
      <t>Banakapena</t>
    </r>
  </si>
  <si>
    <t>Zalantzazkoa</t>
  </si>
  <si>
    <t>Berankortasun ratioa</t>
  </si>
  <si>
    <t>Kredituaren estaldura ratioa</t>
  </si>
  <si>
    <r>
      <t xml:space="preserve">Kaudimena. </t>
    </r>
    <r>
      <rPr>
        <sz val="18"/>
        <color theme="1"/>
        <rFont val="Calibri"/>
        <family val="2"/>
        <scheme val="minor"/>
      </rPr>
      <t>Banakapena</t>
    </r>
  </si>
  <si>
    <t>Kapitala</t>
  </si>
  <si>
    <t>Erreserbak</t>
  </si>
  <si>
    <t>Ekitaldiaren emaitza</t>
  </si>
  <si>
    <t>Interes minoritarioak</t>
  </si>
  <si>
    <t>Kenkariak</t>
  </si>
  <si>
    <t>CET1 kapitala</t>
  </si>
  <si>
    <t>Tier I kapitala</t>
  </si>
  <si>
    <t>Kapital osoa</t>
  </si>
  <si>
    <t>Arriskuaren arabera Haztatutako Aktiboak</t>
  </si>
  <si>
    <t>CET I ratioa</t>
  </si>
  <si>
    <t>Tier I ratioa</t>
  </si>
  <si>
    <t>CET1 fully loaded ratioa</t>
  </si>
  <si>
    <t>Kapital osoa fully loaded ratioa</t>
  </si>
  <si>
    <t>Palanka-efektu fully loaded ratioa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</si>
  <si>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Kapital ratioak emaitzaren %50a eta orain arte egindako hornidurak ditu barne.</t>
    </r>
  </si>
  <si>
    <r>
      <t>2017/III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</si>
  <si>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2016/III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</si>
  <si>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2017/IV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</si>
  <si>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2017/III</t>
    </r>
    <r>
      <rPr>
        <vertAlign val="superscript"/>
        <sz val="11"/>
        <color theme="1"/>
        <rFont val="Calibri"/>
        <family val="2"/>
        <scheme val="minor"/>
      </rPr>
      <t>1</t>
    </r>
  </si>
  <si>
    <t>e.a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</si>
</sst>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5" fontId="2" fillId="2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ankortasuna!A1"/><Relationship Id="rId3" Type="http://schemas.openxmlformats.org/officeDocument/2006/relationships/image" Target="../media/image1.emf"/><Relationship Id="rId7" Type="http://schemas.openxmlformats.org/officeDocument/2006/relationships/hyperlink" Target="#'Bezeroen maileguak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Bezeroen baliabideak'!A1"/><Relationship Id="rId5" Type="http://schemas.openxmlformats.org/officeDocument/2006/relationships/hyperlink" Target="#Balantzea!A1"/><Relationship Id="rId4" Type="http://schemas.openxmlformats.org/officeDocument/2006/relationships/hyperlink" Target="#'G&amp;I'!A1"/><Relationship Id="rId9" Type="http://schemas.openxmlformats.org/officeDocument/2006/relationships/hyperlink" Target="#Kaudimen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Kaudimen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E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K&amp;L'!A1"/><Relationship Id="rId4" Type="http://schemas.openxmlformats.org/officeDocument/2006/relationships/hyperlink" Target="#'KF-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G&amp;I'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48708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Kopuru adierazgarrienak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Galdu-Irabazien Kontua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baliabideak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maileguak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Berankortasuna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Kaudimena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666681</xdr:colOff>
      <xdr:row>1</xdr:row>
      <xdr:rowOff>31749</xdr:rowOff>
    </xdr:from>
    <xdr:to>
      <xdr:col>4</xdr:col>
      <xdr:colOff>539751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190681" y="222249"/>
          <a:ext cx="139707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4</xdr:col>
      <xdr:colOff>624417</xdr:colOff>
      <xdr:row>1</xdr:row>
      <xdr:rowOff>42333</xdr:rowOff>
    </xdr:from>
    <xdr:to>
      <xdr:col>5</xdr:col>
      <xdr:colOff>899584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72417" y="232833"/>
          <a:ext cx="14499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984234</xdr:colOff>
      <xdr:row>1</xdr:row>
      <xdr:rowOff>42349</xdr:rowOff>
    </xdr:from>
    <xdr:to>
      <xdr:col>7</xdr:col>
      <xdr:colOff>444502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06984" y="232849"/>
          <a:ext cx="139701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 zifra batzuk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624417</xdr:colOff>
      <xdr:row>1</xdr:row>
      <xdr:rowOff>42333</xdr:rowOff>
    </xdr:from>
    <xdr:to>
      <xdr:col>5</xdr:col>
      <xdr:colOff>899584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72417" y="232833"/>
          <a:ext cx="14499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1005400</xdr:colOff>
      <xdr:row>1</xdr:row>
      <xdr:rowOff>42349</xdr:rowOff>
    </xdr:from>
    <xdr:to>
      <xdr:col>7</xdr:col>
      <xdr:colOff>423335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28150" y="232849"/>
          <a:ext cx="135468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613834</xdr:colOff>
      <xdr:row>1</xdr:row>
      <xdr:rowOff>42333</xdr:rowOff>
    </xdr:from>
    <xdr:to>
      <xdr:col>5</xdr:col>
      <xdr:colOff>899585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61834" y="232833"/>
          <a:ext cx="14605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994817</xdr:colOff>
      <xdr:row>1</xdr:row>
      <xdr:rowOff>42349</xdr:rowOff>
    </xdr:from>
    <xdr:to>
      <xdr:col>7</xdr:col>
      <xdr:colOff>433918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17567" y="232849"/>
          <a:ext cx="13758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656166</xdr:colOff>
      <xdr:row>1</xdr:row>
      <xdr:rowOff>42333</xdr:rowOff>
    </xdr:from>
    <xdr:to>
      <xdr:col>5</xdr:col>
      <xdr:colOff>846667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04166" y="232833"/>
          <a:ext cx="13652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963067</xdr:colOff>
      <xdr:row>1</xdr:row>
      <xdr:rowOff>42349</xdr:rowOff>
    </xdr:from>
    <xdr:to>
      <xdr:col>7</xdr:col>
      <xdr:colOff>465669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85817" y="232849"/>
          <a:ext cx="143935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Estados%20contables/Kutxabank/201709/Balance%20(BdE%202014)%20Per&#237;metros%20y%20Fases%20Sep2017%20y%20Sep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Kutxabank%20SEP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DRC/DRC%20Grupo%20Kutxabank%20Septiembre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DRC/Evoluci&#243;n%20DRCs%202007-2017%20complet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Ratios%20y%20cifras%20generales/Correos%20y%20archivos%20recibidos/201709/Solvencia/PLANTILLA%20EVOLUCION%20SOLVENCIA%20SEP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Ratios%20y%20cifras%20generales/Correos%20y%20archivos%20recibidos/201609/Solvencia/PLANTILLA%20EVOLUCION%20SOLVENCIA%20SEP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IR/Informaci&#243;n%20de%20Gesti&#243;n/Ratios%20y%20cifras%20generales/Correos%20y%20archivos%20recibidos/201709/Solvencia/EVOLUCION%20RATIO%20APALANCAMIENTO%20GRUPO%20501%20SEP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Ratios%20y%20cifras%20generales/Correos%20y%20archivos%20recibidos/201609/Solvencia/EVOLUCION%20RATIO%20APALANCAMIENTO%20GRUPO%20501%20SEP%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Ratios%20y%20cifras%20generales/Correos%20y%20archivos%20recibidos/201706/Solvencia/PLANTILLA%20EVOLUCION%20SOLVENCIA%20JUN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Ratios%20y%20cifras%20generales/Correos%20y%20archivos%20recibidos/201706/Solvencia/EVOLUCION%20RATIO%20APALANCAMIENTO%20GRUPO%20501%20JUN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Ratios%20y%20cifras%20generales/Correos%20y%20archivos%20recibidos/201709/VN%202017%2009%20estados%20Hyper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Estados%20contables/Kutxabank/201706/2017Q2-2017Q1-2016Q2%20Balance%20P&#250;blico%20con%20Contribuci&#243;n%20de%20Sociedades%20(varios%20periodo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Ratios%20y%20cifras%20generales/Correos%20y%20archivos%20recibidos/201706/VN%202017%2006%20estados%20Hyper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Ratios%20y%20cifras%20generales/Evoluci&#243;n%20cifras%20Kutxabank/Evoluci&#243;n%20cifras%20Kutxaban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&#243;n%20de%20liquidez%20y%20balance/Cuadro%20de%20Mando/2017/2017%20Cuadro%20de%20mando%20-%20Indicadores%20Consolidad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Estados%20contables/Kutxabank/201709/2017Q3%20Balance%20consolidado%20p&#250;blico-PyG-Exposiciones%20fuera%20de%20balanc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Estados%20contables/Kutxabank/201609/2016Q3%20Balance%20consolidado%20p&#250;blico-PyG-Exposiciones%20fuera%20de%20balanc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101/CEN_4085/Relaci&#243;n%20con%20Inversores/Informaci&#243;n%20de%20Gesti&#243;n/Estados%20contables/Kutxabank/201706/2017Q2%20Balance%20consolidado%20p&#250;blico-PyG-Exposiciones%20fuera%20de%20bal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</sheetNames>
    <sheetDataSet>
      <sheetData sheetId="0">
        <row r="8">
          <cell r="A8">
            <v>2712315</v>
          </cell>
        </row>
      </sheetData>
      <sheetData sheetId="1">
        <row r="8">
          <cell r="A8">
            <v>3197359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over"/>
      <sheetName val="Market share"/>
      <sheetName val="Precios"/>
      <sheetName val="Volumenes"/>
      <sheetName val="New production"/>
      <sheetName val="NPL+coverage"/>
      <sheetName val="NPL vs Sector"/>
      <sheetName val="RED"/>
      <sheetName val="Regiones"/>
      <sheetName val="Entradas mora"/>
      <sheetName val="cuotas mdo"/>
      <sheetName val="OC"/>
      <sheetName val="P&amp;L"/>
      <sheetName val="P&amp;L(ppt)"/>
      <sheetName val="Cifras"/>
      <sheetName val="B2Q16"/>
      <sheetName val="Funding"/>
      <sheetName val="solvencia"/>
      <sheetName val="Evol CT1 12m"/>
      <sheetName val="CHARTS"/>
      <sheetName val="P&amp;L evol"/>
      <sheetName val="Hoja1"/>
      <sheetName val="Charts NPL"/>
      <sheetName val="Charts Business model"/>
      <sheetName val="Charts Funding"/>
      <sheetName val="Charts P&amp;L"/>
      <sheetName val="Charts Prices"/>
      <sheetName val="Charts Volumes"/>
    </sheetNames>
    <sheetDataSet>
      <sheetData sheetId="0"/>
      <sheetData sheetId="1"/>
      <sheetData sheetId="2"/>
      <sheetData sheetId="3"/>
      <sheetData sheetId="4"/>
      <sheetData sheetId="5">
        <row r="5">
          <cell r="V5">
            <v>3179.12</v>
          </cell>
          <cell r="Y5">
            <v>2563.7829999999999</v>
          </cell>
          <cell r="Z5">
            <v>2395.5619999999999</v>
          </cell>
        </row>
        <row r="6">
          <cell r="V6">
            <v>44374.786</v>
          </cell>
          <cell r="Y6">
            <v>45281.445</v>
          </cell>
          <cell r="Z6">
            <v>43891.487000000001</v>
          </cell>
        </row>
        <row r="8">
          <cell r="V8">
            <v>1623.6880000000001</v>
          </cell>
          <cell r="Y8">
            <v>1218.6210000000001</v>
          </cell>
          <cell r="Z8">
            <v>1108.4829999999999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P14">
            <v>1889113</v>
          </cell>
          <cell r="S14">
            <v>2326977</v>
          </cell>
          <cell r="T14">
            <v>2366461</v>
          </cell>
        </row>
        <row r="18">
          <cell r="P18">
            <v>22306025</v>
          </cell>
          <cell r="S18">
            <v>25557860</v>
          </cell>
          <cell r="T18">
            <v>25356816</v>
          </cell>
        </row>
        <row r="19">
          <cell r="P19">
            <v>12886562.008450001</v>
          </cell>
          <cell r="S19">
            <v>11328359.146949999</v>
          </cell>
          <cell r="T19">
            <v>10972479.146949999</v>
          </cell>
        </row>
        <row r="20">
          <cell r="P20">
            <v>286790</v>
          </cell>
          <cell r="S20">
            <v>416498</v>
          </cell>
          <cell r="T20">
            <v>850406</v>
          </cell>
        </row>
        <row r="22">
          <cell r="P22">
            <v>0</v>
          </cell>
          <cell r="S22">
            <v>2940</v>
          </cell>
          <cell r="T22">
            <v>0</v>
          </cell>
        </row>
        <row r="53">
          <cell r="P53">
            <v>23.994854</v>
          </cell>
          <cell r="S53">
            <v>27.732144999999999</v>
          </cell>
          <cell r="T53">
            <v>27.583933999999999</v>
          </cell>
        </row>
        <row r="54">
          <cell r="P54">
            <v>13.373636008450001</v>
          </cell>
          <cell r="S54">
            <v>11.897549146949999</v>
          </cell>
          <cell r="T54">
            <v>11.962228146949998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C"/>
    </sheetNames>
    <sheetDataSet>
      <sheetData sheetId="0">
        <row r="46">
          <cell r="B46">
            <v>3055.6960000000045</v>
          </cell>
        </row>
        <row r="47">
          <cell r="B47">
            <v>40835.790999999997</v>
          </cell>
        </row>
        <row r="48">
          <cell r="B48">
            <v>33462.332000000002</v>
          </cell>
        </row>
        <row r="49">
          <cell r="B49">
            <v>7373.4589999999953</v>
          </cell>
        </row>
        <row r="50">
          <cell r="B50">
            <v>31216.803</v>
          </cell>
        </row>
        <row r="51">
          <cell r="B51">
            <v>29439.685000000001</v>
          </cell>
        </row>
        <row r="52">
          <cell r="B52">
            <v>1777.1179999999986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  <sheetName val="Gráfico"/>
      <sheetName val="Gráfico2"/>
      <sheetName val="Comp. OW"/>
      <sheetName val="AAPP"/>
      <sheetName val="RESUMEN MES"/>
      <sheetName val="GKBJUN17"/>
      <sheetName val="KBJUN17"/>
      <sheetName val="CSJUN17"/>
      <sheetName val="GKBMAR17"/>
      <sheetName val="KBMAR17"/>
      <sheetName val="CSMAR17"/>
      <sheetName val="GKBDIC16"/>
      <sheetName val="KBDIC16"/>
      <sheetName val="CSDIC16"/>
      <sheetName val="GKBSEP16"/>
      <sheetName val="KBSEP16"/>
      <sheetName val="CSSEP16"/>
      <sheetName val="GKBJUN16"/>
      <sheetName val="KBJUN16"/>
      <sheetName val="CSJUN16"/>
      <sheetName val="GKBMAR16"/>
      <sheetName val="KBMAR16"/>
      <sheetName val="CSMAR16"/>
      <sheetName val="GKBDIC15"/>
      <sheetName val="KBDIC15"/>
      <sheetName val="CSDIC15"/>
      <sheetName val="GKBSEP15"/>
      <sheetName val="KBSEP15"/>
      <sheetName val="CSSEP15"/>
      <sheetName val="GKBJUN15"/>
      <sheetName val="KBJUN15"/>
      <sheetName val="CSJUN15"/>
      <sheetName val="GKBMAR15"/>
      <sheetName val="KBMAR15"/>
      <sheetName val="CSMAR15"/>
      <sheetName val="GKBDIC14"/>
      <sheetName val="KBDIC14"/>
      <sheetName val="CSDIC14"/>
      <sheetName val="GKBSEP14"/>
      <sheetName val="KBSEP14"/>
      <sheetName val="CSSEP14"/>
      <sheetName val="GKBJUN14"/>
      <sheetName val="KBJUN14"/>
      <sheetName val="CSJUN14"/>
      <sheetName val="GKBMAR14"/>
      <sheetName val="KBMAR14"/>
      <sheetName val="CSMAR14"/>
      <sheetName val="GKBDIC13"/>
      <sheetName val="KBDIC13"/>
      <sheetName val="CSDIC13"/>
      <sheetName val="GKBSEP13"/>
      <sheetName val="KBSEP13"/>
      <sheetName val="CSSEP13"/>
      <sheetName val="GKBJUN13"/>
      <sheetName val="KBJUN13"/>
      <sheetName val="CSJUN13"/>
      <sheetName val="GKBMAR13"/>
      <sheetName val="KBMAR13"/>
      <sheetName val="CSMAR13"/>
      <sheetName val="GKBDIC12"/>
      <sheetName val="KBDIC12"/>
      <sheetName val="CSDIC12"/>
      <sheetName val="GKBSEP12"/>
      <sheetName val="KBSEP12"/>
      <sheetName val="CSSEP12"/>
      <sheetName val="GKBJUN12"/>
      <sheetName val="KBJUN12"/>
      <sheetName val="CSJUN12"/>
      <sheetName val="GKBMAR12"/>
      <sheetName val="KBMAR12"/>
      <sheetName val="CSMAR12"/>
      <sheetName val="GKBDIC11"/>
      <sheetName val="KBDIC11"/>
      <sheetName val="CSDIC11"/>
      <sheetName val="GKBSEP11"/>
      <sheetName val="KBSEP11"/>
      <sheetName val="CSSEP11"/>
      <sheetName val="GKBJUN11"/>
      <sheetName val="KBJUN11"/>
      <sheetName val="CSJUN11"/>
      <sheetName val="GKBMAR11"/>
      <sheetName val="KBMAR11"/>
      <sheetName val="CSMAR11"/>
      <sheetName val="GKBDIC10"/>
      <sheetName val="KBDIC10"/>
      <sheetName val="BBKDIC10"/>
      <sheetName val="KUTXADIC10"/>
      <sheetName val="VITALDIC10"/>
      <sheetName val="GKBSEP10"/>
      <sheetName val="KBSEP10"/>
      <sheetName val="GKBJUN10"/>
      <sheetName val="KBJUN10"/>
      <sheetName val="GKBMAR10"/>
      <sheetName val="KBMAR10"/>
      <sheetName val="GKBDIC09"/>
      <sheetName val="KBDIC09"/>
      <sheetName val="GKBSEP09"/>
      <sheetName val="KBSEP09"/>
      <sheetName val="GKBJUN09"/>
      <sheetName val="KBJUN09"/>
      <sheetName val="GKBDIC08"/>
      <sheetName val="KBDIC08"/>
      <sheetName val="GKBDIC07"/>
      <sheetName val="KBDIC07"/>
    </sheetNames>
    <sheetDataSet>
      <sheetData sheetId="0"/>
      <sheetData sheetId="1"/>
      <sheetData sheetId="2"/>
      <sheetData sheetId="3"/>
      <sheetData sheetId="4"/>
      <sheetData sheetId="5"/>
      <sheetData sheetId="6">
        <row r="46">
          <cell r="D46">
            <v>3654.0500000000011</v>
          </cell>
        </row>
        <row r="47">
          <cell r="D47">
            <v>41627.394999999997</v>
          </cell>
        </row>
        <row r="48">
          <cell r="D48">
            <v>33747.239000000001</v>
          </cell>
        </row>
        <row r="49">
          <cell r="D49">
            <v>7880.1559999999954</v>
          </cell>
        </row>
        <row r="50">
          <cell r="D50">
            <v>31731.798999999999</v>
          </cell>
        </row>
        <row r="51">
          <cell r="D51">
            <v>29549.838</v>
          </cell>
        </row>
        <row r="52">
          <cell r="D52">
            <v>2181.9609999999993</v>
          </cell>
        </row>
      </sheetData>
      <sheetData sheetId="7"/>
      <sheetData sheetId="8"/>
      <sheetData sheetId="9">
        <row r="46">
          <cell r="D46">
            <v>2742.2390000000032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D46">
            <v>3066.9939999999979</v>
          </cell>
        </row>
        <row r="47">
          <cell r="D47">
            <v>41307.792000000001</v>
          </cell>
        </row>
        <row r="48">
          <cell r="D48">
            <v>34938.612000000001</v>
          </cell>
        </row>
        <row r="49">
          <cell r="D49">
            <v>6369.18</v>
          </cell>
        </row>
        <row r="50">
          <cell r="D50">
            <v>31693.489000000001</v>
          </cell>
        </row>
        <row r="51">
          <cell r="D51">
            <v>30038.852999999999</v>
          </cell>
        </row>
        <row r="52">
          <cell r="D52">
            <v>1654.6360000000022</v>
          </cell>
        </row>
      </sheetData>
      <sheetData sheetId="16"/>
      <sheetData sheetId="17"/>
      <sheetData sheetId="18">
        <row r="46">
          <cell r="D46">
            <v>3210.4040000000055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"/>
      <sheetName val="CS"/>
      <sheetName val="GKB"/>
      <sheetName val="Completo Sep"/>
    </sheetNames>
    <sheetDataSet>
      <sheetData sheetId="0"/>
      <sheetData sheetId="1"/>
      <sheetData sheetId="2">
        <row r="8">
          <cell r="Z8">
            <v>4666551.9109200295</v>
          </cell>
        </row>
        <row r="9">
          <cell r="Z9">
            <v>2060000</v>
          </cell>
        </row>
        <row r="10">
          <cell r="Z10">
            <v>2788546</v>
          </cell>
        </row>
        <row r="11">
          <cell r="Z11">
            <v>115422</v>
          </cell>
        </row>
        <row r="12">
          <cell r="Z12">
            <v>4319.4068445461307</v>
          </cell>
        </row>
        <row r="15">
          <cell r="Z15">
            <v>339869.8</v>
          </cell>
        </row>
        <row r="21">
          <cell r="Z21">
            <v>-337468</v>
          </cell>
        </row>
        <row r="25">
          <cell r="Z25">
            <v>-286.13</v>
          </cell>
        </row>
        <row r="26">
          <cell r="Z26">
            <v>-3467</v>
          </cell>
        </row>
        <row r="27">
          <cell r="Z27">
            <v>-300384.16592451662</v>
          </cell>
        </row>
        <row r="37">
          <cell r="Z37">
            <v>0</v>
          </cell>
        </row>
        <row r="41">
          <cell r="Z41">
            <v>0</v>
          </cell>
        </row>
        <row r="48">
          <cell r="Z48">
            <v>0</v>
          </cell>
        </row>
        <row r="58">
          <cell r="Z58">
            <v>30613197.331359655</v>
          </cell>
        </row>
        <row r="85">
          <cell r="Z85">
            <v>0.1486974203180918</v>
          </cell>
        </row>
        <row r="86">
          <cell r="Z86">
            <v>0.1486974203180918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"/>
      <sheetName val="CS"/>
      <sheetName val="GKB"/>
      <sheetName val="GKB (con 50% resultado)"/>
      <sheetName val="Completo Sep"/>
    </sheetNames>
    <sheetDataSet>
      <sheetData sheetId="0"/>
      <sheetData sheetId="1"/>
      <sheetData sheetId="2"/>
      <sheetData sheetId="3">
        <row r="8">
          <cell r="Q8">
            <v>4610329.5</v>
          </cell>
        </row>
        <row r="9">
          <cell r="Q9">
            <v>2060000</v>
          </cell>
        </row>
        <row r="10">
          <cell r="Q10">
            <v>2666418</v>
          </cell>
        </row>
        <row r="11">
          <cell r="Q11">
            <v>95153.5</v>
          </cell>
        </row>
        <row r="12">
          <cell r="Q12">
            <v>3942</v>
          </cell>
        </row>
        <row r="15">
          <cell r="Q15">
            <v>226187</v>
          </cell>
        </row>
        <row r="21">
          <cell r="Q21">
            <v>-324439</v>
          </cell>
        </row>
        <row r="25">
          <cell r="Q25">
            <v>-3070</v>
          </cell>
        </row>
        <row r="26">
          <cell r="Q26">
            <v>-2310</v>
          </cell>
        </row>
        <row r="27">
          <cell r="Q27">
            <v>-111552</v>
          </cell>
        </row>
        <row r="37">
          <cell r="Q37">
            <v>0</v>
          </cell>
        </row>
        <row r="41">
          <cell r="Q41">
            <v>0</v>
          </cell>
        </row>
        <row r="48">
          <cell r="Q48">
            <v>32688</v>
          </cell>
        </row>
        <row r="58">
          <cell r="Q58">
            <v>30664060.31986174</v>
          </cell>
        </row>
        <row r="85">
          <cell r="Q85">
            <v>0.14669577134760145</v>
          </cell>
        </row>
        <row r="86">
          <cell r="Q86">
            <v>0.14563705784318207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on GRUPO 501 LR"/>
      <sheetName val="MAR14"/>
      <sheetName val="JUN14"/>
      <sheetName val="SEP14"/>
      <sheetName val="DIC14"/>
      <sheetName val="MAR15"/>
      <sheetName val="JUN15"/>
      <sheetName val="SEP15"/>
      <sheetName val="DIC15"/>
      <sheetName val="MAR16"/>
      <sheetName val="Evolucion GRUPO 501 LR (con re)"/>
      <sheetName val="JUN16"/>
      <sheetName val="SEP16"/>
      <sheetName val="DIC16"/>
      <sheetName val="MAR17"/>
      <sheetName val="JUN17"/>
      <sheetName val="SEP17"/>
    </sheetNames>
    <sheetDataSet>
      <sheetData sheetId="0">
        <row r="7">
          <cell r="S7">
            <v>4636227.4109200295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4">
          <cell r="S34">
            <v>8.059088281366085E-2</v>
          </cell>
          <cell r="AJ34">
            <v>7.8980304768099807E-2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on GRUPO 501 LR"/>
      <sheetName val="Evolucion GRUPO 501 LR (res 50%"/>
      <sheetName val="MAR14"/>
      <sheetName val="JUN14"/>
      <sheetName val="SEP14"/>
      <sheetName val="DIC14"/>
      <sheetName val="MAR15"/>
      <sheetName val="JUN15"/>
      <sheetName val="SEP15"/>
      <sheetName val="DIC15"/>
      <sheetName val="MAR16"/>
      <sheetName val="JUN16"/>
      <sheetName val="SEP16"/>
    </sheetNames>
    <sheetDataSet>
      <sheetData sheetId="0"/>
      <sheetData sheetId="1">
        <row r="34">
          <cell r="K34">
            <v>7.6321620604912571E-2</v>
          </cell>
          <cell r="O34">
            <v>8.0882266307082826E-2</v>
          </cell>
          <cell r="AB34">
            <v>7.903926428460864E-2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E7">
            <v>4587255.9369752379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"/>
      <sheetName val="CS"/>
      <sheetName val="GKB"/>
      <sheetName val="Completo Sep"/>
      <sheetName val="Hoja1"/>
    </sheetNames>
    <sheetDataSet>
      <sheetData sheetId="0"/>
      <sheetData sheetId="1"/>
      <sheetData sheetId="2">
        <row r="8">
          <cell r="V8">
            <v>4612886.6596599324</v>
          </cell>
          <cell r="X8">
            <v>4665661.6587567246</v>
          </cell>
        </row>
        <row r="9">
          <cell r="X9">
            <v>2060000</v>
          </cell>
        </row>
        <row r="10">
          <cell r="X10">
            <v>2788546</v>
          </cell>
        </row>
        <row r="11">
          <cell r="X11">
            <v>85097.5</v>
          </cell>
        </row>
        <row r="12">
          <cell r="X12">
            <v>4355.5206212306493</v>
          </cell>
        </row>
        <row r="15">
          <cell r="X15">
            <v>359766</v>
          </cell>
        </row>
        <row r="21">
          <cell r="X21">
            <v>-334346</v>
          </cell>
        </row>
        <row r="25">
          <cell r="X25">
            <v>-244.81</v>
          </cell>
        </row>
        <row r="26">
          <cell r="X26">
            <v>-3907</v>
          </cell>
        </row>
        <row r="27">
          <cell r="X27">
            <v>-293605.55186450708</v>
          </cell>
        </row>
        <row r="37">
          <cell r="X37">
            <v>0</v>
          </cell>
        </row>
        <row r="41">
          <cell r="X41">
            <v>0</v>
          </cell>
        </row>
        <row r="48">
          <cell r="X48">
            <v>0</v>
          </cell>
        </row>
        <row r="58">
          <cell r="X58">
            <v>30739179.756839767</v>
          </cell>
        </row>
        <row r="85">
          <cell r="X85">
            <v>0.14824736290360591</v>
          </cell>
        </row>
        <row r="86">
          <cell r="X86">
            <v>0.14824736290360591</v>
          </cell>
        </row>
      </sheetData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on GRUPO 501 LR"/>
      <sheetName val="MAR14"/>
      <sheetName val="JUN14"/>
      <sheetName val="SEP14"/>
      <sheetName val="DIC14"/>
      <sheetName val="MAR15"/>
      <sheetName val="JUN15"/>
      <sheetName val="SEP15"/>
      <sheetName val="DIC15"/>
      <sheetName val="MAR16"/>
      <sheetName val="Evolucion GRUPO 501 LR (con re)"/>
      <sheetName val="JUN16"/>
      <sheetName val="SEP16"/>
      <sheetName val="DIC16"/>
      <sheetName val="MAR17"/>
      <sheetName val="JUN17"/>
    </sheetNames>
    <sheetDataSet>
      <sheetData sheetId="0">
        <row r="7">
          <cell r="R7">
            <v>4580564.1587567236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R34">
            <v>8.0429995264640661E-2</v>
          </cell>
          <cell r="AH34">
            <v>7.8927927272805967E-2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VN"/>
      <sheetName val="CRC"/>
      <sheetName val="VN"/>
      <sheetName val="Cédulas hipotecarias"/>
      <sheetName val="dPC1"/>
      <sheetName val="Histórico F01_1"/>
      <sheetName val="Histórico F01_2"/>
      <sheetName val="dC1 Pbco"/>
      <sheetName val="dC8 Recalculado"/>
      <sheetName val="dC8 Recalculado Año Ant"/>
    </sheetNames>
    <sheetDataSet>
      <sheetData sheetId="0">
        <row r="34">
          <cell r="D34">
            <v>3142495</v>
          </cell>
          <cell r="E34">
            <v>4058910</v>
          </cell>
        </row>
        <row r="35">
          <cell r="D35">
            <v>0</v>
          </cell>
          <cell r="E35">
            <v>40025</v>
          </cell>
        </row>
        <row r="40">
          <cell r="D40">
            <v>18989316.522659995</v>
          </cell>
          <cell r="E40">
            <v>17817915.439289995</v>
          </cell>
        </row>
        <row r="45">
          <cell r="D45">
            <v>43748061</v>
          </cell>
          <cell r="E45">
            <v>44209731</v>
          </cell>
        </row>
      </sheetData>
      <sheetData sheetId="1"/>
      <sheetData sheetId="2"/>
      <sheetData sheetId="3">
        <row r="37">
          <cell r="AH37">
            <v>3325198.4733799999</v>
          </cell>
          <cell r="AK37">
            <v>1720241.0093700001</v>
          </cell>
          <cell r="AL37">
            <v>1710925.2973699998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-2017"/>
      <sheetName val="Mar-2017"/>
      <sheetName val="Jun-2016"/>
    </sheetNames>
    <sheetDataSet>
      <sheetData sheetId="0">
        <row r="8">
          <cell r="A8">
            <v>2712375</v>
          </cell>
        </row>
      </sheetData>
      <sheetData sheetId="1">
        <row r="8">
          <cell r="A8">
            <v>2461256</v>
          </cell>
        </row>
      </sheetData>
      <sheetData sheetId="2">
        <row r="8">
          <cell r="A8">
            <v>3404261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VN"/>
      <sheetName val="CRC"/>
      <sheetName val="VN"/>
      <sheetName val="Cédulas hipotecarias"/>
      <sheetName val="dPC1"/>
      <sheetName val="Histórico F01_1"/>
      <sheetName val="Histórico F01_2"/>
      <sheetName val="dC1 Pbco"/>
      <sheetName val="dC8 Recalculado"/>
    </sheetNames>
    <sheetDataSet>
      <sheetData sheetId="0">
        <row r="34">
          <cell r="D34">
            <v>3150229</v>
          </cell>
        </row>
        <row r="35">
          <cell r="D35">
            <v>0</v>
          </cell>
        </row>
        <row r="40">
          <cell r="D40">
            <v>18917485.908609994</v>
          </cell>
        </row>
        <row r="45">
          <cell r="D45">
            <v>45136607</v>
          </cell>
        </row>
      </sheetData>
      <sheetData sheetId="1"/>
      <sheetData sheetId="2"/>
      <sheetData sheetId="3">
        <row r="37">
          <cell r="AG37">
            <v>3329926.6388400001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4T2016 resumen "/>
      <sheetName val="Balance 4T2016"/>
      <sheetName val="PyG 4T2016"/>
      <sheetName val="4Q2016 summary"/>
      <sheetName val="BS 4Q2016 "/>
      <sheetName val="P&amp;L 4Q2016"/>
      <sheetName val="3T2016 resumen"/>
      <sheetName val="Balance 3T2016"/>
      <sheetName val="PyG 3T2016"/>
      <sheetName val="3Q2016 summary"/>
      <sheetName val="BS 3Q2016"/>
      <sheetName val="P&amp;L 3Q2016"/>
      <sheetName val="2T2016 resumen"/>
      <sheetName val="Balance 2T2016"/>
      <sheetName val="PyG 2T2016"/>
      <sheetName val="2Q2016 summary"/>
      <sheetName val="BS 2Q2016"/>
      <sheetName val="P&amp;L 2Q2016"/>
      <sheetName val="1T2016 resumen"/>
      <sheetName val="Balance 1T2016"/>
      <sheetName val="PyG 1T2016"/>
      <sheetName val="1Q2016 summary"/>
      <sheetName val="BS 1Q2016"/>
      <sheetName val="P&amp;L 1Q2016"/>
      <sheetName val="4T2015 resumen"/>
      <sheetName val="Balance 4T2015"/>
      <sheetName val="PyG 4T2015"/>
      <sheetName val="4Q2015 summary"/>
      <sheetName val="BS 4Q2015"/>
      <sheetName val="P&amp;L 4Q2015"/>
      <sheetName val="3T2015 resumen"/>
      <sheetName val="Balance 3T2015"/>
      <sheetName val="PyG 3T2015"/>
      <sheetName val="3Q2015 summary"/>
      <sheetName val="BS 3Q2015"/>
      <sheetName val="P&amp;L 3Q2015"/>
      <sheetName val="2T2015 resumen"/>
      <sheetName val="Balance 2T2015"/>
      <sheetName val="PyG 2T2015"/>
      <sheetName val="2Q2015 summary"/>
      <sheetName val="BS 2Q2015"/>
      <sheetName val="P&amp;L 2Q2015"/>
      <sheetName val="1T2015 resumen"/>
      <sheetName val="Balance 1T2015"/>
      <sheetName val="PyG 1T2015"/>
      <sheetName val="1Q2015 summary"/>
      <sheetName val="BS 1Q2015"/>
      <sheetName val="P&amp;L 1Q2015"/>
      <sheetName val="4T2014 resumen"/>
      <sheetName val="Balance 4T2014"/>
      <sheetName val="PyG 4T2014"/>
      <sheetName val="4Q2014 summary"/>
      <sheetName val="BS 4Q2014"/>
      <sheetName val="P&amp;L 4Q2014"/>
      <sheetName val="3T2014 resumen"/>
      <sheetName val="Balance 3T2014"/>
      <sheetName val="PyG 3T2014"/>
      <sheetName val="3Q2014 summary"/>
      <sheetName val="BS 3Q2014"/>
      <sheetName val="P&amp;L 3Q2014"/>
      <sheetName val="PyG 2T2014"/>
      <sheetName val="2T2014 resumen"/>
      <sheetName val="2Q2014 summary"/>
      <sheetName val="Balance 2T2014 "/>
      <sheetName val="BS 2Q2014"/>
      <sheetName val="P&amp;L 2Q2014"/>
      <sheetName val="1T2014 resumen"/>
      <sheetName val="1Q2014 summary"/>
      <sheetName val="Balance 1T2014"/>
      <sheetName val="PyG 1T2014"/>
      <sheetName val="BS 1Q2014"/>
      <sheetName val="P&amp;L 1Q2014"/>
      <sheetName val="4T2013 resumen"/>
      <sheetName val="4Q2013 summary"/>
      <sheetName val="Balance 4T2013"/>
      <sheetName val="PyG 4T2013"/>
      <sheetName val="BS 4Q2013"/>
      <sheetName val="P&amp;L 4Q2013"/>
      <sheetName val="3T2013 resumen"/>
      <sheetName val="Balance 3T2013"/>
      <sheetName val="PyG 3T2013"/>
      <sheetName val="3Q2013 summary"/>
      <sheetName val="BS 3Q2013"/>
      <sheetName val="P&amp;L 3Q2013"/>
      <sheetName val="2T2013 resumen"/>
      <sheetName val="Balance 2T2013"/>
      <sheetName val="PyG 2T2013"/>
      <sheetName val="2Q2013 summary"/>
      <sheetName val="BS 2Q2013"/>
      <sheetName val="P&amp;L 2Q2013"/>
      <sheetName val="1T2013 resumen"/>
      <sheetName val="Balance 1T2013"/>
      <sheetName val="PyG 1T2013"/>
      <sheetName val="1Q2013 summary"/>
      <sheetName val="BS 1Q2013"/>
      <sheetName val="P&amp;L 1Q2013"/>
      <sheetName val="resumen 2012"/>
      <sheetName val="2012 summery"/>
    </sheetNames>
    <sheetDataSet>
      <sheetData sheetId="0">
        <row r="30">
          <cell r="Z30">
            <v>0.151970070929107</v>
          </cell>
        </row>
        <row r="39">
          <cell r="Y39">
            <v>5.2423611768332261E-2</v>
          </cell>
          <cell r="AB39">
            <v>5.5208190286580243E-2</v>
          </cell>
          <cell r="AC39">
            <v>5.7755654210747187E-2</v>
          </cell>
        </row>
        <row r="42">
          <cell r="Y42">
            <v>4.3329861479097006E-3</v>
          </cell>
          <cell r="AB42">
            <v>4.7220544961743428E-3</v>
          </cell>
          <cell r="AC42">
            <v>4.9894925816226943E-3</v>
          </cell>
        </row>
        <row r="45">
          <cell r="Y45">
            <v>8.049860170951148E-3</v>
          </cell>
          <cell r="AB45">
            <v>8.8338146746114333E-3</v>
          </cell>
          <cell r="AC45">
            <v>9.3341925855500267E-3</v>
          </cell>
        </row>
        <row r="48">
          <cell r="Y48">
            <v>0.6234882190476525</v>
          </cell>
          <cell r="AB48">
            <v>0.48509245283547248</v>
          </cell>
          <cell r="AC48">
            <v>0.48158467688301154</v>
          </cell>
        </row>
        <row r="54">
          <cell r="Y54">
            <v>5965</v>
          </cell>
          <cell r="AB54">
            <v>5689</v>
          </cell>
          <cell r="AC54">
            <v>5652</v>
          </cell>
        </row>
        <row r="55">
          <cell r="Y55">
            <v>958</v>
          </cell>
          <cell r="AB55">
            <v>934</v>
          </cell>
          <cell r="AC55">
            <v>931</v>
          </cell>
        </row>
        <row r="56">
          <cell r="Y56">
            <v>2690924</v>
          </cell>
          <cell r="AB56">
            <v>2614691</v>
          </cell>
          <cell r="AC56">
            <v>2595956</v>
          </cell>
        </row>
        <row r="57">
          <cell r="Y57">
            <v>2537543</v>
          </cell>
          <cell r="AB57">
            <v>2464985</v>
          </cell>
          <cell r="AC57">
            <v>2447264</v>
          </cell>
        </row>
        <row r="58">
          <cell r="Y58">
            <v>153381</v>
          </cell>
          <cell r="AB58">
            <v>149706</v>
          </cell>
          <cell r="AC58">
            <v>148692</v>
          </cell>
        </row>
        <row r="59">
          <cell r="Y59">
            <v>1997</v>
          </cell>
          <cell r="AB59">
            <v>1981</v>
          </cell>
          <cell r="AC59">
            <v>1977</v>
          </cell>
        </row>
        <row r="74">
          <cell r="Y74">
            <v>5.6399074495919965E-2</v>
          </cell>
          <cell r="AB74">
            <v>5.9407979585016285E-2</v>
          </cell>
          <cell r="AC74">
            <v>6.2154715397274025E-2</v>
          </cell>
        </row>
      </sheetData>
      <sheetData sheetId="1">
        <row r="36">
          <cell r="E36">
            <v>0.15034960967037347</v>
          </cell>
        </row>
      </sheetData>
      <sheetData sheetId="2"/>
      <sheetData sheetId="3">
        <row r="37">
          <cell r="E37">
            <v>219.25900000000013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D7">
            <v>57540.484999999993</v>
          </cell>
        </row>
      </sheetData>
      <sheetData sheetId="21"/>
      <sheetData sheetId="22"/>
      <sheetData sheetId="23"/>
      <sheetData sheetId="24"/>
      <sheetData sheetId="25"/>
      <sheetData sheetId="26">
        <row r="7">
          <cell r="D7">
            <v>58375.672000000013</v>
          </cell>
        </row>
      </sheetData>
      <sheetData sheetId="27"/>
      <sheetData sheetId="28"/>
      <sheetData sheetId="29"/>
      <sheetData sheetId="30"/>
      <sheetData sheetId="31"/>
      <sheetData sheetId="32">
        <row r="7">
          <cell r="D7">
            <v>57835.5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12">
          <cell r="D12">
            <v>42.262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Hoja1"/>
      <sheetName val="LOAN TO DEPOSITS"/>
      <sheetName val="GAP FINANCIERO"/>
      <sheetName val="ACTIVOS LIQUIDOS ENTRE VTOS. 3M"/>
      <sheetName val="ACTIVOS LIQUIDOS ENTRE VTOS 12M"/>
      <sheetName val="CAP EMIS+AL ENTRE VTOS. 12M"/>
      <sheetName val="APELACION BCE"/>
      <sheetName val="APELACION BCE CORREGIDO"/>
      <sheetName val="LCR"/>
      <sheetName val="NSFR"/>
      <sheetName val="LEVERAGE RATIO"/>
      <sheetName val="MINORISTA VS MAYORISTA (Av)"/>
      <sheetName val="CORTO VS LARGO"/>
      <sheetName val="CAPACIDAD DE EMISIÓN CH"/>
      <sheetName val="VIDA MEDIA VTOS. MAYORISTAS"/>
      <sheetName val="Cálculo Vida media 31122015"/>
      <sheetName val="Cálculo Vida media 31012016"/>
      <sheetName val="Cálculo Vida media 29022016"/>
      <sheetName val="Cálculo Vida media 31032016"/>
      <sheetName val="Cálculo Vida media 30042016"/>
      <sheetName val="Cálculo Vida media 31052016"/>
      <sheetName val="Cálculo Vida media 30062016"/>
      <sheetName val="Cálculo Vida media 31072016"/>
      <sheetName val="Cálculo Vida media 31082016"/>
      <sheetName val="Cálculo Vida media 30092016"/>
      <sheetName val="Cálculo Vida media 31102016"/>
      <sheetName val="Cálculo Vida media 30112016"/>
      <sheetName val="SPREAD MEDIO FIN. MAYORISTA"/>
      <sheetName val="Cálculo Vida media 31122016"/>
      <sheetName val="RATING CREDITICIO LP"/>
      <sheetName val="Cálculo Vida media 31012017"/>
      <sheetName val="Cálculo Vida media 28022017"/>
      <sheetName val="Cálculo Vida media 31032017"/>
      <sheetName val="Cálculo Vida media 30042017"/>
      <sheetName val="Cálculo Vida media 31052017"/>
      <sheetName val="Cálculo Vida media 30062017"/>
      <sheetName val="Cálculo Vida media 31072017"/>
      <sheetName val="CGR"/>
    </sheetNames>
    <sheetDataSet>
      <sheetData sheetId="0"/>
      <sheetData sheetId="1"/>
      <sheetData sheetId="2">
        <row r="14">
          <cell r="O14">
            <v>1.1130465966996215</v>
          </cell>
        </row>
        <row r="16">
          <cell r="O16">
            <v>1.1320018118683342</v>
          </cell>
        </row>
        <row r="20">
          <cell r="O20">
            <v>1.1041662916169794</v>
          </cell>
        </row>
        <row r="23">
          <cell r="O23">
            <v>1.0746669729756841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1">
          <cell r="K21">
            <v>1.6566313390234211</v>
          </cell>
        </row>
        <row r="27">
          <cell r="K27">
            <v>1.5941168823753764</v>
          </cell>
        </row>
        <row r="36">
          <cell r="K36">
            <v>1.62903112084373</v>
          </cell>
        </row>
        <row r="39">
          <cell r="D39">
            <v>1.6385379170732357</v>
          </cell>
        </row>
      </sheetData>
      <sheetData sheetId="10">
        <row r="13">
          <cell r="D13">
            <v>1.1400002979199719</v>
          </cell>
        </row>
        <row r="15">
          <cell r="D15">
            <v>1.1299064668065322</v>
          </cell>
        </row>
        <row r="18">
          <cell r="D18">
            <v>1.1738449428726645</v>
          </cell>
        </row>
        <row r="19">
          <cell r="D19">
            <v>1.1869283723147415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11"/>
      <sheetName val="6612"/>
      <sheetName val="661301"/>
      <sheetName val="660201"/>
      <sheetName val="660202"/>
      <sheetName val="661302"/>
    </sheetNames>
    <sheetDataSet>
      <sheetData sheetId="0">
        <row r="6">
          <cell r="C6">
            <v>3167450</v>
          </cell>
        </row>
        <row r="8">
          <cell r="C8">
            <v>90142</v>
          </cell>
        </row>
        <row r="10">
          <cell r="C10">
            <v>995</v>
          </cell>
        </row>
        <row r="17">
          <cell r="C17">
            <v>6046</v>
          </cell>
        </row>
        <row r="18">
          <cell r="C18">
            <v>28422</v>
          </cell>
        </row>
        <row r="25">
          <cell r="C25">
            <v>1439371</v>
          </cell>
        </row>
        <row r="26">
          <cell r="C26">
            <v>3469654</v>
          </cell>
        </row>
        <row r="32">
          <cell r="C32">
            <v>729981</v>
          </cell>
        </row>
        <row r="33">
          <cell r="C33">
            <v>42784415</v>
          </cell>
        </row>
        <row r="35">
          <cell r="C35">
            <v>45771</v>
          </cell>
        </row>
        <row r="37">
          <cell r="C37">
            <v>195567</v>
          </cell>
        </row>
        <row r="39">
          <cell r="C39">
            <v>514884</v>
          </cell>
        </row>
        <row r="42">
          <cell r="C42">
            <v>51753</v>
          </cell>
        </row>
        <row r="43">
          <cell r="C43">
            <v>1014204</v>
          </cell>
        </row>
        <row r="51">
          <cell r="C51">
            <v>357604</v>
          </cell>
        </row>
        <row r="54">
          <cell r="C54">
            <v>1942923</v>
          </cell>
        </row>
        <row r="57">
          <cell r="C57">
            <v>349112</v>
          </cell>
        </row>
        <row r="61">
          <cell r="C61">
            <v>901128</v>
          </cell>
        </row>
      </sheetData>
      <sheetData sheetId="1">
        <row r="6">
          <cell r="C6">
            <v>90739</v>
          </cell>
        </row>
        <row r="25">
          <cell r="C25">
            <v>3984259</v>
          </cell>
        </row>
        <row r="26">
          <cell r="C26">
            <v>630473</v>
          </cell>
        </row>
        <row r="27">
          <cell r="C27">
            <v>41261106</v>
          </cell>
        </row>
        <row r="28">
          <cell r="C28">
            <v>3142495</v>
          </cell>
        </row>
        <row r="29">
          <cell r="C29">
            <v>687844</v>
          </cell>
        </row>
        <row r="31">
          <cell r="C31">
            <v>153073</v>
          </cell>
        </row>
        <row r="33">
          <cell r="C33">
            <v>630305</v>
          </cell>
        </row>
        <row r="34">
          <cell r="C34">
            <v>516561</v>
          </cell>
        </row>
        <row r="40">
          <cell r="C40">
            <v>259184</v>
          </cell>
        </row>
        <row r="44">
          <cell r="C44">
            <v>207844</v>
          </cell>
        </row>
      </sheetData>
      <sheetData sheetId="2">
        <row r="6">
          <cell r="C6">
            <v>5079390</v>
          </cell>
        </row>
        <row r="24">
          <cell r="C24">
            <v>432637</v>
          </cell>
        </row>
        <row r="39">
          <cell r="C39">
            <v>13512</v>
          </cell>
        </row>
      </sheetData>
      <sheetData sheetId="3">
        <row r="9">
          <cell r="C9">
            <v>416104</v>
          </cell>
        </row>
        <row r="10">
          <cell r="C10">
            <v>32174</v>
          </cell>
        </row>
        <row r="11">
          <cell r="C11">
            <v>11222</v>
          </cell>
        </row>
        <row r="12">
          <cell r="C12">
            <v>312774</v>
          </cell>
        </row>
        <row r="13">
          <cell r="C13">
            <v>32097</v>
          </cell>
        </row>
        <row r="14">
          <cell r="C14">
            <v>242845</v>
          </cell>
        </row>
        <row r="15">
          <cell r="C15">
            <v>2148</v>
          </cell>
        </row>
        <row r="16">
          <cell r="C16">
            <v>272</v>
          </cell>
        </row>
        <row r="17">
          <cell r="C17">
            <v>180</v>
          </cell>
        </row>
        <row r="18">
          <cell r="C18">
            <v>2016</v>
          </cell>
        </row>
        <row r="19">
          <cell r="C19">
            <v>59222</v>
          </cell>
        </row>
        <row r="20">
          <cell r="C20">
            <v>60682</v>
          </cell>
        </row>
        <row r="22">
          <cell r="C22">
            <v>142731</v>
          </cell>
        </row>
        <row r="23">
          <cell r="C23">
            <v>70462</v>
          </cell>
        </row>
        <row r="25">
          <cell r="C25">
            <v>327229</v>
          </cell>
        </row>
        <row r="26">
          <cell r="C26">
            <v>144426</v>
          </cell>
        </row>
        <row r="27">
          <cell r="C27">
            <v>38254</v>
          </cell>
        </row>
        <row r="28">
          <cell r="C28">
            <v>75668</v>
          </cell>
        </row>
        <row r="31">
          <cell r="C31">
            <v>56697</v>
          </cell>
        </row>
        <row r="32">
          <cell r="C32">
            <v>124928</v>
          </cell>
        </row>
        <row r="34">
          <cell r="C34">
            <v>3056</v>
          </cell>
        </row>
        <row r="35">
          <cell r="C35">
            <v>26834</v>
          </cell>
        </row>
        <row r="39">
          <cell r="C39">
            <v>28997</v>
          </cell>
        </row>
        <row r="42">
          <cell r="C42">
            <v>-71737</v>
          </cell>
        </row>
        <row r="44">
          <cell r="C44">
            <v>-13021</v>
          </cell>
        </row>
        <row r="47">
          <cell r="C47">
            <v>231636</v>
          </cell>
        </row>
        <row r="48">
          <cell r="C48">
            <v>792</v>
          </cell>
        </row>
        <row r="49">
          <cell r="C49">
            <v>230844</v>
          </cell>
        </row>
      </sheetData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11"/>
      <sheetName val="6612"/>
      <sheetName val="661301"/>
      <sheetName val="660201"/>
      <sheetName val="660202"/>
      <sheetName val="661302"/>
    </sheetNames>
    <sheetDataSet>
      <sheetData sheetId="0">
        <row r="6">
          <cell r="C6">
            <v>676322</v>
          </cell>
        </row>
        <row r="8">
          <cell r="C8">
            <v>150976</v>
          </cell>
        </row>
        <row r="17">
          <cell r="C17">
            <v>6129</v>
          </cell>
        </row>
        <row r="18">
          <cell r="C18">
            <v>30522</v>
          </cell>
        </row>
        <row r="25">
          <cell r="C25">
            <v>2246050</v>
          </cell>
        </row>
        <row r="26">
          <cell r="C26">
            <v>3942570</v>
          </cell>
        </row>
        <row r="32">
          <cell r="C32">
            <v>1233924</v>
          </cell>
        </row>
        <row r="33">
          <cell r="C33">
            <v>42764560</v>
          </cell>
        </row>
        <row r="35">
          <cell r="C35">
            <v>45670</v>
          </cell>
        </row>
        <row r="37">
          <cell r="C37">
            <v>326072</v>
          </cell>
        </row>
        <row r="39">
          <cell r="C39">
            <v>518679</v>
          </cell>
        </row>
        <row r="42">
          <cell r="C42">
            <v>50794</v>
          </cell>
        </row>
        <row r="43">
          <cell r="C43">
            <v>1068407</v>
          </cell>
        </row>
        <row r="51">
          <cell r="C51">
            <v>347026</v>
          </cell>
        </row>
        <row r="54">
          <cell r="C54">
            <v>2009102</v>
          </cell>
        </row>
        <row r="57">
          <cell r="C57">
            <v>325681</v>
          </cell>
        </row>
        <row r="61">
          <cell r="C61">
            <v>859878</v>
          </cell>
        </row>
      </sheetData>
      <sheetData sheetId="1">
        <row r="6">
          <cell r="C6">
            <v>149625</v>
          </cell>
        </row>
        <row r="25">
          <cell r="C25">
            <v>2620000</v>
          </cell>
        </row>
        <row r="26">
          <cell r="C26">
            <v>1047177</v>
          </cell>
        </row>
        <row r="27">
          <cell r="C27">
            <v>40759452</v>
          </cell>
        </row>
        <row r="28">
          <cell r="C28">
            <v>4058910</v>
          </cell>
        </row>
        <row r="29">
          <cell r="C29">
            <v>642098</v>
          </cell>
        </row>
        <row r="31">
          <cell r="C31">
            <v>212695</v>
          </cell>
        </row>
        <row r="33">
          <cell r="C33">
            <v>656182</v>
          </cell>
        </row>
        <row r="34">
          <cell r="C34">
            <v>480679</v>
          </cell>
        </row>
        <row r="40">
          <cell r="C40">
            <v>311577</v>
          </cell>
        </row>
        <row r="44">
          <cell r="C44">
            <v>177592</v>
          </cell>
        </row>
      </sheetData>
      <sheetData sheetId="2">
        <row r="6">
          <cell r="C6">
            <v>4916724</v>
          </cell>
        </row>
        <row r="24">
          <cell r="C24">
            <v>558697</v>
          </cell>
        </row>
        <row r="39">
          <cell r="C39">
            <v>10954</v>
          </cell>
        </row>
      </sheetData>
      <sheetData sheetId="3">
        <row r="9">
          <cell r="C9">
            <v>420460</v>
          </cell>
        </row>
        <row r="10">
          <cell r="C10">
            <v>56123</v>
          </cell>
        </row>
        <row r="11">
          <cell r="C11">
            <v>40725</v>
          </cell>
        </row>
        <row r="12">
          <cell r="C12">
            <v>285980</v>
          </cell>
        </row>
        <row r="13">
          <cell r="C13">
            <v>28549</v>
          </cell>
        </row>
        <row r="14">
          <cell r="C14">
            <v>52875</v>
          </cell>
        </row>
        <row r="15">
          <cell r="C15">
            <v>-2468</v>
          </cell>
        </row>
        <row r="16">
          <cell r="C16">
            <v>-254</v>
          </cell>
        </row>
        <row r="18">
          <cell r="C18">
            <v>2834</v>
          </cell>
        </row>
        <row r="19">
          <cell r="C19">
            <v>39572</v>
          </cell>
        </row>
        <row r="20">
          <cell r="C20">
            <v>46012</v>
          </cell>
        </row>
        <row r="22">
          <cell r="C22">
            <v>128583</v>
          </cell>
        </row>
        <row r="23">
          <cell r="C23">
            <v>63428</v>
          </cell>
        </row>
        <row r="25">
          <cell r="C25">
            <v>341824</v>
          </cell>
        </row>
        <row r="26">
          <cell r="C26">
            <v>145541</v>
          </cell>
        </row>
        <row r="27">
          <cell r="C27">
            <v>39225</v>
          </cell>
        </row>
        <row r="28">
          <cell r="C28">
            <v>27151</v>
          </cell>
        </row>
        <row r="31">
          <cell r="C31">
            <v>37791</v>
          </cell>
        </row>
        <row r="32">
          <cell r="C32">
            <v>70874</v>
          </cell>
        </row>
        <row r="34">
          <cell r="C34">
            <v>2643</v>
          </cell>
        </row>
        <row r="35">
          <cell r="C35">
            <v>9061</v>
          </cell>
        </row>
        <row r="39">
          <cell r="C39">
            <v>10553</v>
          </cell>
        </row>
        <row r="42">
          <cell r="C42">
            <v>-19725</v>
          </cell>
        </row>
        <row r="44">
          <cell r="C44">
            <v>12449</v>
          </cell>
        </row>
        <row r="47">
          <cell r="C47">
            <v>190710</v>
          </cell>
        </row>
        <row r="48">
          <cell r="C48">
            <v>403</v>
          </cell>
        </row>
        <row r="49">
          <cell r="C49">
            <v>190307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11"/>
      <sheetName val="6612"/>
      <sheetName val="661301"/>
      <sheetName val="660201"/>
      <sheetName val="660202"/>
      <sheetName val="661302"/>
    </sheetNames>
    <sheetDataSet>
      <sheetData sheetId="0">
        <row r="6">
          <cell r="C6">
            <v>1982311</v>
          </cell>
        </row>
        <row r="8">
          <cell r="C8">
            <v>96847</v>
          </cell>
        </row>
        <row r="9">
          <cell r="C9">
            <v>0</v>
          </cell>
        </row>
        <row r="10">
          <cell r="C10">
            <v>2473</v>
          </cell>
        </row>
        <row r="17">
          <cell r="C17">
            <v>6174</v>
          </cell>
        </row>
        <row r="18">
          <cell r="C18">
            <v>28944</v>
          </cell>
        </row>
        <row r="25">
          <cell r="C25">
            <v>1496535</v>
          </cell>
        </row>
        <row r="26">
          <cell r="C26">
            <v>3451820</v>
          </cell>
        </row>
        <row r="31">
          <cell r="C31">
            <v>0</v>
          </cell>
        </row>
        <row r="32">
          <cell r="C32">
            <v>753531</v>
          </cell>
        </row>
        <row r="33">
          <cell r="C33">
            <v>44039109</v>
          </cell>
        </row>
        <row r="35">
          <cell r="C35">
            <v>45251</v>
          </cell>
        </row>
        <row r="37">
          <cell r="C37">
            <v>208668</v>
          </cell>
        </row>
        <row r="39">
          <cell r="C39">
            <v>501533</v>
          </cell>
        </row>
        <row r="42">
          <cell r="C42">
            <v>52675</v>
          </cell>
        </row>
        <row r="43">
          <cell r="C43">
            <v>1025885</v>
          </cell>
        </row>
        <row r="51">
          <cell r="C51">
            <v>355100</v>
          </cell>
        </row>
        <row r="54">
          <cell r="C54">
            <v>1940354</v>
          </cell>
        </row>
        <row r="57">
          <cell r="C57">
            <v>391266</v>
          </cell>
        </row>
        <row r="61">
          <cell r="C61">
            <v>891539</v>
          </cell>
        </row>
      </sheetData>
      <sheetData sheetId="1">
        <row r="6">
          <cell r="C6">
            <v>95032</v>
          </cell>
        </row>
        <row r="25">
          <cell r="C25">
            <v>4000570</v>
          </cell>
        </row>
        <row r="26">
          <cell r="C26">
            <v>706011</v>
          </cell>
        </row>
        <row r="27">
          <cell r="C27">
            <v>41362441</v>
          </cell>
        </row>
        <row r="28">
          <cell r="C28">
            <v>3150229</v>
          </cell>
        </row>
        <row r="29">
          <cell r="C29">
            <v>679825</v>
          </cell>
        </row>
        <row r="31">
          <cell r="C31">
            <v>146214</v>
          </cell>
        </row>
        <row r="33">
          <cell r="C33">
            <v>637157</v>
          </cell>
        </row>
        <row r="34">
          <cell r="C34">
            <v>541918</v>
          </cell>
        </row>
        <row r="40">
          <cell r="C40">
            <v>272151</v>
          </cell>
        </row>
        <row r="44">
          <cell r="C44">
            <v>187472</v>
          </cell>
        </row>
      </sheetData>
      <sheetData sheetId="2">
        <row r="6">
          <cell r="C6">
            <v>5018741</v>
          </cell>
        </row>
        <row r="24">
          <cell r="C24">
            <v>458684</v>
          </cell>
        </row>
        <row r="39">
          <cell r="C39">
            <v>13570</v>
          </cell>
        </row>
      </sheetData>
      <sheetData sheetId="3">
        <row r="6">
          <cell r="C6">
            <v>324986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3" t="s">
        <v>9</v>
      </c>
      <c r="D10" s="3" t="s">
        <v>10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126</v>
      </c>
    </row>
    <row r="12" spans="2:8" ht="17.25" x14ac:dyDescent="0.3">
      <c r="B12" s="6" t="s">
        <v>12</v>
      </c>
      <c r="G12" s="4"/>
    </row>
    <row r="13" spans="2:8" x14ac:dyDescent="0.25">
      <c r="B13" s="74" t="s">
        <v>13</v>
      </c>
      <c r="G13" s="4"/>
    </row>
    <row r="14" spans="2:8" x14ac:dyDescent="0.25">
      <c r="B14" s="7"/>
      <c r="C14" s="7"/>
      <c r="D14" s="7"/>
      <c r="E14" s="7"/>
      <c r="F14" s="8" t="s">
        <v>9</v>
      </c>
      <c r="G14" s="9" t="s">
        <v>16</v>
      </c>
      <c r="H14" s="9" t="s">
        <v>15</v>
      </c>
    </row>
    <row r="15" spans="2:8" s="19" customFormat="1" x14ac:dyDescent="0.25">
      <c r="B15" s="19" t="s">
        <v>21</v>
      </c>
      <c r="F15" s="20">
        <f>+'Bezeroen maileguak'!F15</f>
        <v>42784.415000000001</v>
      </c>
      <c r="G15" s="25">
        <f>+'Bezeroen maileguak'!G15</f>
        <v>42764.56</v>
      </c>
      <c r="H15" s="35">
        <f t="shared" ref="H15:H17" si="0">IF(ISERROR($F15/G15),"-",$F15/G15-1)</f>
        <v>4.6428631558481648E-4</v>
      </c>
    </row>
    <row r="16" spans="2:8" x14ac:dyDescent="0.25">
      <c r="B16" s="21" t="s">
        <v>122</v>
      </c>
      <c r="C16" s="21"/>
      <c r="D16" s="21"/>
      <c r="E16" s="21"/>
      <c r="F16" s="22">
        <f>+'Bezeroen maileguak'!F16</f>
        <v>43891.487000000001</v>
      </c>
      <c r="G16" s="23">
        <f>+'Bezeroen maileguak'!G16</f>
        <v>44374.786</v>
      </c>
      <c r="H16" s="41">
        <f t="shared" si="0"/>
        <v>-1.0891297594088689E-2</v>
      </c>
    </row>
    <row r="17" spans="2:8" x14ac:dyDescent="0.25">
      <c r="B17" s="19" t="s">
        <v>127</v>
      </c>
      <c r="C17" s="19"/>
      <c r="D17" s="19"/>
      <c r="E17" s="19"/>
      <c r="F17" s="20">
        <f>+'[10]NPL+coverage'!$Z$5</f>
        <v>2395.5619999999999</v>
      </c>
      <c r="G17" s="25">
        <f>+'[10]NPL+coverage'!$V$5</f>
        <v>3179.12</v>
      </c>
      <c r="H17" s="35">
        <f t="shared" si="0"/>
        <v>-0.24647009235260076</v>
      </c>
    </row>
    <row r="18" spans="2:8" x14ac:dyDescent="0.25">
      <c r="B18" s="5" t="s">
        <v>128</v>
      </c>
      <c r="C18" s="5"/>
      <c r="D18" s="5"/>
      <c r="E18" s="5"/>
      <c r="F18" s="70">
        <f>+F17/F16</f>
        <v>5.4579194366324385E-2</v>
      </c>
      <c r="G18" s="71">
        <f>+G17/G16</f>
        <v>7.1642486343483427E-2</v>
      </c>
      <c r="H18" s="72" t="str">
        <f>IF(ISERROR($F18-G18),"-",CONCATENATE((FIXED($F18-G18,4)*10000)," op"))</f>
        <v>-171 op</v>
      </c>
    </row>
    <row r="19" spans="2:8" x14ac:dyDescent="0.25">
      <c r="B19" s="19" t="s">
        <v>102</v>
      </c>
      <c r="C19" s="19"/>
      <c r="D19" s="19"/>
      <c r="E19" s="19"/>
      <c r="F19" s="20">
        <f>+'[10]NPL+coverage'!$Z$8</f>
        <v>1108.4829999999999</v>
      </c>
      <c r="G19" s="25">
        <f>+'[10]NPL+coverage'!$V$8</f>
        <v>1623.6880000000001</v>
      </c>
      <c r="H19" s="35">
        <f>IF(ISERROR($F19/G19),"-",$F19/G19-1)</f>
        <v>-0.31730541828233016</v>
      </c>
    </row>
    <row r="20" spans="2:8" x14ac:dyDescent="0.25">
      <c r="B20" s="5" t="s">
        <v>129</v>
      </c>
      <c r="C20" s="5"/>
      <c r="D20" s="5"/>
      <c r="E20" s="5"/>
      <c r="F20" s="70">
        <f>+F19/F17</f>
        <v>0.46272356966757694</v>
      </c>
      <c r="G20" s="71">
        <f>+G19/G17</f>
        <v>0.51073504617630039</v>
      </c>
      <c r="H20" s="72" t="str">
        <f>IF(ISERROR($F20-G20),"-",CONCATENATE((FIXED($F20-G20,4)*10000)," op"))</f>
        <v>-480 op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78"/>
      <c r="C22" s="5"/>
      <c r="D22" s="5"/>
      <c r="E22" s="5"/>
      <c r="F22" s="37"/>
      <c r="G22" s="37"/>
      <c r="H22" s="38"/>
    </row>
    <row r="23" spans="2:8" x14ac:dyDescent="0.25">
      <c r="B23" s="5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14</v>
      </c>
      <c r="G28" s="4"/>
    </row>
    <row r="29" spans="2:8" x14ac:dyDescent="0.25">
      <c r="B29" s="74" t="s">
        <v>13</v>
      </c>
      <c r="G29" s="4"/>
    </row>
    <row r="30" spans="2:8" x14ac:dyDescent="0.25">
      <c r="B30" s="7"/>
      <c r="C30" s="7"/>
      <c r="D30" s="7"/>
      <c r="E30" s="7"/>
      <c r="F30" s="8" t="s">
        <v>9</v>
      </c>
      <c r="G30" s="9" t="s">
        <v>31</v>
      </c>
      <c r="H30" s="9" t="s">
        <v>15</v>
      </c>
    </row>
    <row r="31" spans="2:8" x14ac:dyDescent="0.25">
      <c r="B31" s="19" t="s">
        <v>21</v>
      </c>
      <c r="C31" s="19"/>
      <c r="D31" s="19"/>
      <c r="E31" s="19"/>
      <c r="F31" s="20">
        <f>+'Bezeroen maileguak'!F33</f>
        <v>42784.415000000001</v>
      </c>
      <c r="G31" s="25">
        <f>+'Bezeroen maileguak'!G33</f>
        <v>44039.108999999997</v>
      </c>
      <c r="H31" s="35">
        <f t="shared" ref="H31:H35" si="1">IF(ISERROR($F31/G31),"-",$F31/G31-1)</f>
        <v>-2.8490449250460403E-2</v>
      </c>
    </row>
    <row r="32" spans="2:8" x14ac:dyDescent="0.25">
      <c r="B32" s="21" t="s">
        <v>122</v>
      </c>
      <c r="C32" s="21"/>
      <c r="D32" s="21"/>
      <c r="E32" s="21"/>
      <c r="F32" s="22">
        <f>+'Bezeroen maileguak'!F34</f>
        <v>43891.487000000001</v>
      </c>
      <c r="G32" s="23">
        <f>+'Bezeroen maileguak'!G34</f>
        <v>45281.445</v>
      </c>
      <c r="H32" s="41">
        <f t="shared" si="1"/>
        <v>-3.0695972710234831E-2</v>
      </c>
    </row>
    <row r="33" spans="2:8" x14ac:dyDescent="0.25">
      <c r="B33" s="19" t="s">
        <v>127</v>
      </c>
      <c r="C33" s="19"/>
      <c r="D33" s="19"/>
      <c r="E33" s="19"/>
      <c r="F33" s="20">
        <f>+F17</f>
        <v>2395.5619999999999</v>
      </c>
      <c r="G33" s="25">
        <f>+'[10]NPL+coverage'!$Y$5</f>
        <v>2563.7829999999999</v>
      </c>
      <c r="H33" s="35">
        <f t="shared" si="1"/>
        <v>-6.5614367518623817E-2</v>
      </c>
    </row>
    <row r="34" spans="2:8" x14ac:dyDescent="0.25">
      <c r="B34" s="5" t="s">
        <v>128</v>
      </c>
      <c r="C34" s="5"/>
      <c r="D34" s="5"/>
      <c r="E34" s="5"/>
      <c r="F34" s="70">
        <f>+F18</f>
        <v>5.4579194366324385E-2</v>
      </c>
      <c r="G34" s="71">
        <f>+G33/G32</f>
        <v>5.6618842441975958E-2</v>
      </c>
      <c r="H34" s="72" t="str">
        <f>IF(ISERROR($F34-G34),"-",CONCATENATE((FIXED($F34-G34,4)*10000)," op"))</f>
        <v>-20 op</v>
      </c>
    </row>
    <row r="35" spans="2:8" x14ac:dyDescent="0.25">
      <c r="B35" s="19" t="s">
        <v>102</v>
      </c>
      <c r="C35" s="19"/>
      <c r="D35" s="19"/>
      <c r="E35" s="19"/>
      <c r="F35" s="20">
        <f t="shared" ref="F35:F36" si="2">+F19</f>
        <v>1108.4829999999999</v>
      </c>
      <c r="G35" s="25">
        <f>+'[10]NPL+coverage'!$Y$8</f>
        <v>1218.6210000000001</v>
      </c>
      <c r="H35" s="35">
        <f t="shared" si="1"/>
        <v>-9.0379207317123345E-2</v>
      </c>
    </row>
    <row r="36" spans="2:8" x14ac:dyDescent="0.25">
      <c r="B36" s="5" t="s">
        <v>129</v>
      </c>
      <c r="C36" s="5"/>
      <c r="D36" s="5"/>
      <c r="E36" s="5"/>
      <c r="F36" s="70">
        <f t="shared" si="2"/>
        <v>0.46272356966757694</v>
      </c>
      <c r="G36" s="71">
        <f>+G35/G33</f>
        <v>0.47532142930973492</v>
      </c>
      <c r="H36" s="72" t="str">
        <f>IF(ISERROR($F36-G36),"-",CONCATENATE((FIXED($F36-G36,4)*10000)," op"))</f>
        <v>-126 op</v>
      </c>
    </row>
    <row r="37" spans="2:8" x14ac:dyDescent="0.25">
      <c r="B37" s="5"/>
    </row>
    <row r="38" spans="2:8" x14ac:dyDescent="0.25">
      <c r="B38" s="68"/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1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130</v>
      </c>
    </row>
    <row r="12" spans="2:8" ht="17.25" x14ac:dyDescent="0.3">
      <c r="B12" s="6" t="s">
        <v>12</v>
      </c>
      <c r="G12" s="4"/>
    </row>
    <row r="13" spans="2:8" x14ac:dyDescent="0.25">
      <c r="B13" s="74" t="s">
        <v>13</v>
      </c>
      <c r="G13" s="4"/>
    </row>
    <row r="14" spans="2:8" ht="17.25" x14ac:dyDescent="0.25">
      <c r="B14" s="7"/>
      <c r="C14" s="7"/>
      <c r="D14" s="7"/>
      <c r="E14" s="7"/>
      <c r="F14" s="8" t="s">
        <v>146</v>
      </c>
      <c r="G14" s="9" t="s">
        <v>147</v>
      </c>
      <c r="H14" s="9" t="s">
        <v>15</v>
      </c>
    </row>
    <row r="15" spans="2:8" x14ac:dyDescent="0.25">
      <c r="B15" s="21" t="s">
        <v>131</v>
      </c>
      <c r="C15" s="21"/>
      <c r="D15" s="21"/>
      <c r="E15" s="21"/>
      <c r="F15" s="22">
        <f>+[13]GKB!$Z$9/1000</f>
        <v>2060</v>
      </c>
      <c r="G15" s="23">
        <f>+'[14]GKB (con 50% resultado)'!$Q$9/1000</f>
        <v>2060</v>
      </c>
      <c r="H15" s="41">
        <f t="shared" ref="H15:H25" si="0">IF(ISERROR($F15/G15),"-",$F15/G15-1)</f>
        <v>0</v>
      </c>
    </row>
    <row r="16" spans="2:8" x14ac:dyDescent="0.25">
      <c r="B16" s="21" t="s">
        <v>132</v>
      </c>
      <c r="C16" s="21"/>
      <c r="D16" s="21"/>
      <c r="E16" s="21"/>
      <c r="F16" s="22">
        <f>+[13]GKB!$Z$10/1000</f>
        <v>2788.5459999999998</v>
      </c>
      <c r="G16" s="23">
        <f>+'[14]GKB (con 50% resultado)'!$Q$10/1000</f>
        <v>2666.4180000000001</v>
      </c>
      <c r="H16" s="41">
        <f t="shared" si="0"/>
        <v>4.5802271061776478E-2</v>
      </c>
    </row>
    <row r="17" spans="2:8" x14ac:dyDescent="0.25">
      <c r="B17" s="21" t="s">
        <v>133</v>
      </c>
      <c r="C17" s="21"/>
      <c r="D17" s="21"/>
      <c r="E17" s="21"/>
      <c r="F17" s="22">
        <f>+[13]GKB!$Z$11/1000</f>
        <v>115.422</v>
      </c>
      <c r="G17" s="23">
        <f>+'[14]GKB (con 50% resultado)'!$Q$11/1000</f>
        <v>95.153499999999994</v>
      </c>
      <c r="H17" s="41">
        <f t="shared" si="0"/>
        <v>0.21300845475994046</v>
      </c>
    </row>
    <row r="18" spans="2:8" x14ac:dyDescent="0.25">
      <c r="B18" s="21" t="s">
        <v>134</v>
      </c>
      <c r="C18" s="21"/>
      <c r="D18" s="21"/>
      <c r="E18" s="21"/>
      <c r="F18" s="22">
        <f>+[13]GKB!$Z$12/1000</f>
        <v>4.3194068445461307</v>
      </c>
      <c r="G18" s="23">
        <f>+'[14]GKB (con 50% resultado)'!$Q$12/1000</f>
        <v>3.9420000000000002</v>
      </c>
      <c r="H18" s="41">
        <f t="shared" si="0"/>
        <v>9.5739940270454182E-2</v>
      </c>
    </row>
    <row r="19" spans="2:8" x14ac:dyDescent="0.25">
      <c r="B19" s="21" t="s">
        <v>107</v>
      </c>
      <c r="C19" s="21"/>
      <c r="D19" s="21"/>
      <c r="E19" s="21"/>
      <c r="F19" s="22">
        <f>+[13]GKB!$Z$15/1000+[13]GKB!$Z$26/1000</f>
        <v>336.40280000000001</v>
      </c>
      <c r="G19" s="23">
        <f>+'[14]GKB (con 50% resultado)'!$Q$15/1000+'[14]GKB (con 50% resultado)'!$Q$26/1000</f>
        <v>223.87700000000001</v>
      </c>
      <c r="H19" s="41">
        <f t="shared" si="0"/>
        <v>0.50262331548126871</v>
      </c>
    </row>
    <row r="20" spans="2:8" x14ac:dyDescent="0.25">
      <c r="B20" s="21" t="s">
        <v>91</v>
      </c>
      <c r="C20" s="21"/>
      <c r="D20" s="21"/>
      <c r="E20" s="21"/>
      <c r="F20" s="22">
        <f>+[13]GKB!$Z$21/1000</f>
        <v>-337.46800000000002</v>
      </c>
      <c r="G20" s="23">
        <f>+'[14]GKB (con 50% resultado)'!$Q$21/1000</f>
        <v>-324.43900000000002</v>
      </c>
      <c r="H20" s="41">
        <f t="shared" si="0"/>
        <v>4.0158550605814858E-2</v>
      </c>
    </row>
    <row r="21" spans="2:8" x14ac:dyDescent="0.25">
      <c r="B21" s="21" t="s">
        <v>135</v>
      </c>
      <c r="C21" s="21"/>
      <c r="D21" s="21"/>
      <c r="E21" s="21"/>
      <c r="F21" s="22">
        <f>+[13]GKB!$Z$25/1000+[13]GKB!$Z$27/1000+[13]GKB!$Z$37/1000</f>
        <v>-300.67029592451667</v>
      </c>
      <c r="G21" s="23">
        <f>+'[14]GKB (con 50% resultado)'!$Q$25/1000+'[14]GKB (con 50% resultado)'!$Q$27/1000+'[14]GKB (con 50% resultado)'!$Q$37/1000</f>
        <v>-114.622</v>
      </c>
      <c r="H21" s="41">
        <f t="shared" si="0"/>
        <v>1.6231464808197087</v>
      </c>
    </row>
    <row r="22" spans="2:8" x14ac:dyDescent="0.25">
      <c r="B22" s="5" t="s">
        <v>136</v>
      </c>
      <c r="C22" s="5"/>
      <c r="D22" s="5"/>
      <c r="E22" s="5"/>
      <c r="F22" s="17">
        <f>+[13]GKB!$Z$8/1000</f>
        <v>4666.5519109200295</v>
      </c>
      <c r="G22" s="37">
        <f>+'[14]GKB (con 50% resultado)'!$Q$8/1000</f>
        <v>4610.3294999999998</v>
      </c>
      <c r="H22" s="38">
        <f t="shared" si="0"/>
        <v>1.2194879112226165E-2</v>
      </c>
    </row>
    <row r="23" spans="2:8" x14ac:dyDescent="0.25">
      <c r="B23" s="5" t="s">
        <v>137</v>
      </c>
      <c r="C23" s="5"/>
      <c r="D23" s="5"/>
      <c r="E23" s="5"/>
      <c r="F23" s="17">
        <f>+[13]GKB!$Z$8/1000+[13]GKB!$Z$41/1000</f>
        <v>4666.5519109200295</v>
      </c>
      <c r="G23" s="37">
        <f>+'[14]GKB (con 50% resultado)'!$Q$8/1000+'[14]GKB (con 50% resultado)'!$Q$41/1000</f>
        <v>4610.3294999999998</v>
      </c>
      <c r="H23" s="38">
        <f t="shared" si="0"/>
        <v>1.2194879112226165E-2</v>
      </c>
    </row>
    <row r="24" spans="2:8" x14ac:dyDescent="0.25">
      <c r="B24" s="5" t="s">
        <v>138</v>
      </c>
      <c r="C24" s="5"/>
      <c r="D24" s="5"/>
      <c r="E24" s="5"/>
      <c r="F24" s="17">
        <f>+[13]GKB!$Z$8/1000+[13]GKB!$Z$41/1000+[13]GKB!$Z$48/1000</f>
        <v>4666.5519109200295</v>
      </c>
      <c r="G24" s="37">
        <f>+'[14]GKB (con 50% resultado)'!$Q$8/1000+'[14]GKB (con 50% resultado)'!$Q$41/1000+'[14]GKB (con 50% resultado)'!$Q$48/1000</f>
        <v>4643.0174999999999</v>
      </c>
      <c r="H24" s="38">
        <f t="shared" si="0"/>
        <v>5.0687749766245016E-3</v>
      </c>
    </row>
    <row r="25" spans="2:8" x14ac:dyDescent="0.25">
      <c r="B25" s="5" t="s">
        <v>139</v>
      </c>
      <c r="C25" s="5"/>
      <c r="D25" s="5"/>
      <c r="E25" s="5"/>
      <c r="F25" s="17">
        <f>+[13]GKB!$Z$58/1000</f>
        <v>30613.197331359654</v>
      </c>
      <c r="G25" s="37">
        <f>+'[14]GKB (con 50% resultado)'!$Q$58/1000</f>
        <v>30664.060319861739</v>
      </c>
      <c r="H25" s="38">
        <f t="shared" si="0"/>
        <v>-1.6587166856419922E-3</v>
      </c>
    </row>
    <row r="26" spans="2:8" ht="17.25" x14ac:dyDescent="0.3">
      <c r="B26" s="6" t="s">
        <v>140</v>
      </c>
      <c r="C26" s="6"/>
      <c r="D26" s="6"/>
      <c r="E26" s="6"/>
      <c r="F26" s="42">
        <f>+F22/F25</f>
        <v>0.15243595304367932</v>
      </c>
      <c r="G26" s="43">
        <f>+G22/G25</f>
        <v>0.15034960967037347</v>
      </c>
      <c r="H26" s="44" t="str">
        <f>IF(ISERROR($F26-G26),"-",CONCATENATE((FIXED($F26-G26,4)*10000)," pbs"))</f>
        <v>21 pbs</v>
      </c>
    </row>
    <row r="27" spans="2:8" ht="17.25" x14ac:dyDescent="0.3">
      <c r="B27" s="6" t="s">
        <v>141</v>
      </c>
      <c r="C27" s="6"/>
      <c r="D27" s="6"/>
      <c r="E27" s="6"/>
      <c r="F27" s="42">
        <f>+F23/F25</f>
        <v>0.15243595304367932</v>
      </c>
      <c r="G27" s="43">
        <f>+G23/G25</f>
        <v>0.15034960967037347</v>
      </c>
      <c r="H27" s="44" t="str">
        <f>IF(ISERROR($F27-G27),"-",CONCATENATE((FIXED($F27-G27,4)*10000)," pbs"))</f>
        <v>21 pbs</v>
      </c>
    </row>
    <row r="28" spans="2:8" ht="17.25" x14ac:dyDescent="0.3">
      <c r="B28" s="6" t="s">
        <v>37</v>
      </c>
      <c r="C28" s="6"/>
      <c r="D28" s="6"/>
      <c r="E28" s="6"/>
      <c r="F28" s="42">
        <f>+F24/F25</f>
        <v>0.15243595304367932</v>
      </c>
      <c r="G28" s="43">
        <f>+G24/G25</f>
        <v>0.15141561331304265</v>
      </c>
      <c r="H28" s="44" t="str">
        <f>IF(ISERROR($F28-G28),"-",CONCATENATE((FIXED($F28-G28,4)*10000)," pbs"))</f>
        <v>10 pbs</v>
      </c>
    </row>
    <row r="29" spans="2:8" ht="17.25" x14ac:dyDescent="0.3">
      <c r="B29" s="6" t="s">
        <v>38</v>
      </c>
      <c r="C29" s="6"/>
      <c r="D29" s="6"/>
      <c r="E29" s="6"/>
      <c r="F29" s="42">
        <f>+'[15]Evolucion GRUPO 501 LR (con re)'!$S$34</f>
        <v>8.059088281366085E-2</v>
      </c>
      <c r="G29" s="43">
        <f>+'[16]Evolucion GRUPO 501 LR (res 50%'!$O$34</f>
        <v>8.0882266307082826E-2</v>
      </c>
      <c r="H29" s="44" t="str">
        <f>IF(ISERROR($F29-G29),"-",CONCATENATE((FIXED($F29-G29,4)*10000)," pbs"))</f>
        <v>-3 pbs</v>
      </c>
    </row>
    <row r="30" spans="2:8" x14ac:dyDescent="0.25">
      <c r="B30" s="50" t="s">
        <v>6</v>
      </c>
      <c r="C30" s="21"/>
      <c r="D30" s="21"/>
      <c r="E30" s="21"/>
      <c r="F30" s="51"/>
      <c r="G30" s="21"/>
      <c r="H30" s="52"/>
    </row>
    <row r="31" spans="2:8" x14ac:dyDescent="0.25">
      <c r="B31" s="53" t="s">
        <v>142</v>
      </c>
      <c r="C31" s="54"/>
      <c r="D31" s="54"/>
      <c r="E31" s="54"/>
      <c r="F31" s="55">
        <f>+[13]GKB!$Z$86</f>
        <v>0.1486974203180918</v>
      </c>
      <c r="G31" s="56">
        <f>+'[14]GKB (con 50% resultado)'!$Q$86</f>
        <v>0.14563705784318207</v>
      </c>
      <c r="H31" s="57" t="str">
        <f>IF(ISERROR($F31-G31),"-",CONCATENATE((FIXED($F31-G31,4)*10000)," pbs"))</f>
        <v>31 pbs</v>
      </c>
    </row>
    <row r="32" spans="2:8" x14ac:dyDescent="0.25">
      <c r="B32" s="50" t="s">
        <v>143</v>
      </c>
      <c r="C32" s="21"/>
      <c r="D32" s="21"/>
      <c r="E32" s="21"/>
      <c r="F32" s="58">
        <f>+[13]GKB!$Z$85</f>
        <v>0.1486974203180918</v>
      </c>
      <c r="G32" s="59">
        <f>+'[14]GKB (con 50% resultado)'!$Q$85</f>
        <v>0.14669577134760145</v>
      </c>
      <c r="H32" s="60" t="str">
        <f>IF(ISERROR($F32-G32),"-",CONCATENATE((FIXED($F32-G32,4)*10000)," pbs"))</f>
        <v>20 pbs</v>
      </c>
    </row>
    <row r="33" spans="2:8" x14ac:dyDescent="0.25">
      <c r="B33" s="50" t="s">
        <v>144</v>
      </c>
      <c r="C33" s="21"/>
      <c r="D33" s="21"/>
      <c r="E33" s="21"/>
      <c r="F33" s="58">
        <f>+'[15]Evolucion GRUPO 501 LR (con re)'!$AJ$34</f>
        <v>7.8980304768099807E-2</v>
      </c>
      <c r="G33" s="59">
        <f>+'[16]Evolucion GRUPO 501 LR (res 50%'!$AB$34</f>
        <v>7.903926428460864E-2</v>
      </c>
      <c r="H33" s="60" t="str">
        <f>IF(ISERROR($F33-G33),"-",CONCATENATE((FIXED($F33-G33,4)*10000)," pbs"))</f>
        <v>-1 pbs</v>
      </c>
    </row>
    <row r="34" spans="2:8" x14ac:dyDescent="0.25">
      <c r="B34" s="50"/>
      <c r="C34" s="21"/>
      <c r="D34" s="21"/>
      <c r="E34" s="21"/>
      <c r="F34" s="59"/>
      <c r="G34" s="59"/>
      <c r="H34" s="60"/>
    </row>
    <row r="35" spans="2:8" ht="17.25" x14ac:dyDescent="0.25">
      <c r="B35" s="68" t="s">
        <v>145</v>
      </c>
      <c r="C35" s="21"/>
      <c r="D35" s="21"/>
      <c r="E35" s="21"/>
      <c r="F35" s="59"/>
      <c r="G35" s="59"/>
      <c r="H35" s="60"/>
    </row>
    <row r="36" spans="2:8" x14ac:dyDescent="0.25">
      <c r="B36" s="50"/>
      <c r="C36" s="21"/>
      <c r="D36" s="21"/>
      <c r="E36" s="21"/>
      <c r="F36" s="59"/>
      <c r="G36" s="59"/>
      <c r="H36" s="60"/>
    </row>
    <row r="40" spans="2:8" ht="17.25" x14ac:dyDescent="0.3">
      <c r="B40" s="6" t="s">
        <v>14</v>
      </c>
      <c r="G40" s="4"/>
    </row>
    <row r="41" spans="2:8" x14ac:dyDescent="0.25">
      <c r="B41" s="74" t="s">
        <v>13</v>
      </c>
      <c r="G41" s="4"/>
    </row>
    <row r="42" spans="2:8" ht="17.25" x14ac:dyDescent="0.25">
      <c r="B42" s="7"/>
      <c r="C42" s="7"/>
      <c r="D42" s="7"/>
      <c r="E42" s="7"/>
      <c r="F42" s="8" t="s">
        <v>148</v>
      </c>
      <c r="G42" s="9" t="s">
        <v>149</v>
      </c>
      <c r="H42" s="9" t="s">
        <v>15</v>
      </c>
    </row>
    <row r="43" spans="2:8" x14ac:dyDescent="0.25">
      <c r="B43" s="21" t="s">
        <v>131</v>
      </c>
      <c r="C43" s="21"/>
      <c r="D43" s="21"/>
      <c r="E43" s="21"/>
      <c r="F43" s="22">
        <f t="shared" ref="F43:F57" si="1">+F15</f>
        <v>2060</v>
      </c>
      <c r="G43" s="23">
        <f>+[17]GKB!$X$9/1000</f>
        <v>2060</v>
      </c>
      <c r="H43" s="41">
        <f t="shared" ref="H43:H53" si="2">IF(ISERROR($F43/G43),"-",$F43/G43-1)</f>
        <v>0</v>
      </c>
    </row>
    <row r="44" spans="2:8" x14ac:dyDescent="0.25">
      <c r="B44" s="21" t="s">
        <v>132</v>
      </c>
      <c r="C44" s="21"/>
      <c r="D44" s="21"/>
      <c r="E44" s="21"/>
      <c r="F44" s="22">
        <f t="shared" si="1"/>
        <v>2788.5459999999998</v>
      </c>
      <c r="G44" s="23">
        <f>+[17]GKB!$X$10/1000</f>
        <v>2788.5459999999998</v>
      </c>
      <c r="H44" s="41">
        <f t="shared" si="2"/>
        <v>0</v>
      </c>
    </row>
    <row r="45" spans="2:8" x14ac:dyDescent="0.25">
      <c r="B45" s="21" t="s">
        <v>133</v>
      </c>
      <c r="C45" s="21"/>
      <c r="D45" s="21"/>
      <c r="E45" s="21"/>
      <c r="F45" s="22">
        <f t="shared" si="1"/>
        <v>115.422</v>
      </c>
      <c r="G45" s="23">
        <f>+[17]GKB!$X$11/1000</f>
        <v>85.097499999999997</v>
      </c>
      <c r="H45" s="41">
        <f t="shared" si="2"/>
        <v>0.35635006903845601</v>
      </c>
    </row>
    <row r="46" spans="2:8" x14ac:dyDescent="0.25">
      <c r="B46" s="21" t="s">
        <v>134</v>
      </c>
      <c r="C46" s="21"/>
      <c r="D46" s="21"/>
      <c r="E46" s="21"/>
      <c r="F46" s="22">
        <f t="shared" si="1"/>
        <v>4.3194068445461307</v>
      </c>
      <c r="G46" s="23">
        <f>+[17]GKB!$X$12/1000</f>
        <v>4.3555206212306494</v>
      </c>
      <c r="H46" s="41">
        <f t="shared" si="2"/>
        <v>-8.2914948234855679E-3</v>
      </c>
    </row>
    <row r="47" spans="2:8" x14ac:dyDescent="0.25">
      <c r="B47" s="21" t="s">
        <v>107</v>
      </c>
      <c r="C47" s="21"/>
      <c r="D47" s="21"/>
      <c r="E47" s="21"/>
      <c r="F47" s="22">
        <f t="shared" si="1"/>
        <v>336.40280000000001</v>
      </c>
      <c r="G47" s="23">
        <f>+[17]GKB!$X$15/1000+[17]GKB!$X$26/1000</f>
        <v>355.85900000000004</v>
      </c>
      <c r="H47" s="41">
        <f t="shared" si="2"/>
        <v>-5.4673901741982167E-2</v>
      </c>
    </row>
    <row r="48" spans="2:8" x14ac:dyDescent="0.25">
      <c r="B48" s="21" t="s">
        <v>91</v>
      </c>
      <c r="C48" s="21"/>
      <c r="D48" s="21"/>
      <c r="E48" s="21"/>
      <c r="F48" s="22">
        <f t="shared" si="1"/>
        <v>-337.46800000000002</v>
      </c>
      <c r="G48" s="23">
        <f>+[17]GKB!$X$21/1000</f>
        <v>-334.346</v>
      </c>
      <c r="H48" s="41">
        <f t="shared" si="2"/>
        <v>9.3376322731542061E-3</v>
      </c>
    </row>
    <row r="49" spans="2:8" x14ac:dyDescent="0.25">
      <c r="B49" s="21" t="s">
        <v>135</v>
      </c>
      <c r="C49" s="21"/>
      <c r="D49" s="21"/>
      <c r="E49" s="21"/>
      <c r="F49" s="22">
        <f t="shared" si="1"/>
        <v>-300.67029592451667</v>
      </c>
      <c r="G49" s="23">
        <f>+[17]GKB!$X$25/1000+[17]GKB!$X$27/1000+[17]GKB!$X$37/1000</f>
        <v>-293.85036186450708</v>
      </c>
      <c r="H49" s="41">
        <f t="shared" si="2"/>
        <v>2.320886731851024E-2</v>
      </c>
    </row>
    <row r="50" spans="2:8" x14ac:dyDescent="0.25">
      <c r="B50" s="5" t="s">
        <v>136</v>
      </c>
      <c r="C50" s="5"/>
      <c r="D50" s="5"/>
      <c r="E50" s="5"/>
      <c r="F50" s="17">
        <f t="shared" si="1"/>
        <v>4666.5519109200295</v>
      </c>
      <c r="G50" s="37">
        <f>+[17]GKB!$X$8/1000</f>
        <v>4665.6616587567241</v>
      </c>
      <c r="H50" s="38">
        <f t="shared" si="2"/>
        <v>1.9080941320170908E-4</v>
      </c>
    </row>
    <row r="51" spans="2:8" x14ac:dyDescent="0.25">
      <c r="B51" s="5" t="s">
        <v>137</v>
      </c>
      <c r="C51" s="5"/>
      <c r="D51" s="5"/>
      <c r="E51" s="5"/>
      <c r="F51" s="17">
        <f t="shared" si="1"/>
        <v>4666.5519109200295</v>
      </c>
      <c r="G51" s="37">
        <f>+[17]GKB!$X$8/1000+[17]GKB!$X$41/1000</f>
        <v>4665.6616587567241</v>
      </c>
      <c r="H51" s="38">
        <f t="shared" si="2"/>
        <v>1.9080941320170908E-4</v>
      </c>
    </row>
    <row r="52" spans="2:8" x14ac:dyDescent="0.25">
      <c r="B52" s="5" t="s">
        <v>138</v>
      </c>
      <c r="C52" s="5"/>
      <c r="D52" s="5"/>
      <c r="E52" s="5"/>
      <c r="F52" s="17">
        <f t="shared" si="1"/>
        <v>4666.5519109200295</v>
      </c>
      <c r="G52" s="37">
        <f>+[17]GKB!$X$8/1000+[17]GKB!$X$41/1000+[17]GKB!$X$48/1000</f>
        <v>4665.6616587567241</v>
      </c>
      <c r="H52" s="38">
        <f t="shared" si="2"/>
        <v>1.9080941320170908E-4</v>
      </c>
    </row>
    <row r="53" spans="2:8" x14ac:dyDescent="0.25">
      <c r="B53" s="5" t="s">
        <v>139</v>
      </c>
      <c r="C53" s="5"/>
      <c r="D53" s="5"/>
      <c r="E53" s="5"/>
      <c r="F53" s="17">
        <f t="shared" si="1"/>
        <v>30613.197331359654</v>
      </c>
      <c r="G53" s="37">
        <f>+[17]GKB!$X$58/1000</f>
        <v>30739.179756839767</v>
      </c>
      <c r="H53" s="38">
        <f t="shared" si="2"/>
        <v>-4.0984315937083737E-3</v>
      </c>
    </row>
    <row r="54" spans="2:8" ht="17.25" x14ac:dyDescent="0.3">
      <c r="B54" s="6" t="s">
        <v>140</v>
      </c>
      <c r="C54" s="6"/>
      <c r="D54" s="6"/>
      <c r="E54" s="6"/>
      <c r="F54" s="42">
        <f t="shared" si="1"/>
        <v>0.15243595304367932</v>
      </c>
      <c r="G54" s="43">
        <f>+G50/G53</f>
        <v>0.15178224323694159</v>
      </c>
      <c r="H54" s="44" t="str">
        <f>IF(ISERROR($F54-G54),"-",CONCATENATE((FIXED($F54-G54,4)*10000)," pbs"))</f>
        <v>7 pbs</v>
      </c>
    </row>
    <row r="55" spans="2:8" ht="17.25" x14ac:dyDescent="0.3">
      <c r="B55" s="6" t="s">
        <v>141</v>
      </c>
      <c r="C55" s="6"/>
      <c r="D55" s="6"/>
      <c r="E55" s="6"/>
      <c r="F55" s="42">
        <f t="shared" si="1"/>
        <v>0.15243595304367932</v>
      </c>
      <c r="G55" s="43">
        <f>+G51/G53</f>
        <v>0.15178224323694159</v>
      </c>
      <c r="H55" s="44" t="str">
        <f>IF(ISERROR($F55-G55),"-",CONCATENATE((FIXED($F55-G55,4)*10000)," pbs"))</f>
        <v>7 pbs</v>
      </c>
    </row>
    <row r="56" spans="2:8" ht="17.25" x14ac:dyDescent="0.3">
      <c r="B56" s="6" t="s">
        <v>37</v>
      </c>
      <c r="C56" s="6"/>
      <c r="D56" s="6"/>
      <c r="E56" s="6"/>
      <c r="F56" s="42">
        <f t="shared" si="1"/>
        <v>0.15243595304367932</v>
      </c>
      <c r="G56" s="43">
        <f>+G52/G53</f>
        <v>0.15178224323694159</v>
      </c>
      <c r="H56" s="44" t="str">
        <f>IF(ISERROR($F56-G56),"-",CONCATENATE((FIXED($F56-G56,4)*10000)," pbs"))</f>
        <v>7 pbs</v>
      </c>
    </row>
    <row r="57" spans="2:8" ht="17.25" x14ac:dyDescent="0.3">
      <c r="B57" s="6" t="s">
        <v>38</v>
      </c>
      <c r="C57" s="6"/>
      <c r="D57" s="6"/>
      <c r="E57" s="6"/>
      <c r="F57" s="42">
        <f t="shared" si="1"/>
        <v>8.059088281366085E-2</v>
      </c>
      <c r="G57" s="43">
        <f>+'[18]Evolucion GRUPO 501 LR (con re)'!$R$34</f>
        <v>8.0429995264640661E-2</v>
      </c>
      <c r="H57" s="44" t="str">
        <f>IF(ISERROR($F57-G57),"-",CONCATENATE((FIXED($F57-G57,4)*10000)," pbs"))</f>
        <v>2 pbs</v>
      </c>
    </row>
    <row r="58" spans="2:8" x14ac:dyDescent="0.25">
      <c r="B58" s="50" t="s">
        <v>6</v>
      </c>
      <c r="C58" s="21"/>
      <c r="D58" s="21"/>
      <c r="E58" s="21"/>
      <c r="F58" s="51"/>
      <c r="G58" s="21"/>
      <c r="H58" s="52"/>
    </row>
    <row r="59" spans="2:8" x14ac:dyDescent="0.25">
      <c r="B59" s="53" t="s">
        <v>142</v>
      </c>
      <c r="C59" s="54"/>
      <c r="D59" s="54"/>
      <c r="E59" s="54"/>
      <c r="F59" s="55">
        <f t="shared" ref="F59:F61" si="3">+F31</f>
        <v>0.1486974203180918</v>
      </c>
      <c r="G59" s="56">
        <f>+[17]GKB!$X$86</f>
        <v>0.14824736290360591</v>
      </c>
      <c r="H59" s="57" t="str">
        <f>IF(ISERROR($F59-G59),"-",CONCATENATE((FIXED($F59-G59,4)*10000)," pbs"))</f>
        <v>5 pbs</v>
      </c>
    </row>
    <row r="60" spans="2:8" x14ac:dyDescent="0.25">
      <c r="B60" s="50" t="s">
        <v>143</v>
      </c>
      <c r="C60" s="21"/>
      <c r="D60" s="21"/>
      <c r="E60" s="21"/>
      <c r="F60" s="58">
        <f t="shared" si="3"/>
        <v>0.1486974203180918</v>
      </c>
      <c r="G60" s="59">
        <f>+[17]GKB!$X$85</f>
        <v>0.14824736290360591</v>
      </c>
      <c r="H60" s="60" t="str">
        <f>IF(ISERROR($F60-G60),"-",CONCATENATE((FIXED($F60-G60,4)*10000)," pbs"))</f>
        <v>5 pbs</v>
      </c>
    </row>
    <row r="61" spans="2:8" x14ac:dyDescent="0.25">
      <c r="B61" s="50" t="s">
        <v>144</v>
      </c>
      <c r="C61" s="21"/>
      <c r="D61" s="21"/>
      <c r="E61" s="21"/>
      <c r="F61" s="58">
        <f t="shared" si="3"/>
        <v>7.8980304768099807E-2</v>
      </c>
      <c r="G61" s="59">
        <f>+'[18]Evolucion GRUPO 501 LR (con re)'!$AH$34</f>
        <v>7.8927927272805967E-2</v>
      </c>
      <c r="H61" s="60" t="str">
        <f>IF(ISERROR($F61-G61),"-",CONCATENATE((FIXED($F61-G61,4)*10000)," pbs"))</f>
        <v>1 pbs</v>
      </c>
    </row>
    <row r="62" spans="2:8" x14ac:dyDescent="0.25">
      <c r="B62" s="50"/>
      <c r="C62" s="21"/>
      <c r="D62" s="21"/>
      <c r="E62" s="21"/>
      <c r="F62" s="59"/>
      <c r="G62" s="59"/>
      <c r="H62" s="60"/>
    </row>
    <row r="63" spans="2:8" ht="17.25" x14ac:dyDescent="0.25">
      <c r="B63" s="68" t="s">
        <v>145</v>
      </c>
      <c r="C63" s="21"/>
      <c r="D63" s="21"/>
      <c r="E63" s="21"/>
      <c r="F63" s="59"/>
      <c r="G63" s="59"/>
      <c r="H63" s="60"/>
    </row>
    <row r="64" spans="2:8" x14ac:dyDescent="0.25">
      <c r="B64" s="50"/>
      <c r="C64" s="21"/>
      <c r="D64" s="21"/>
      <c r="E64" s="21"/>
      <c r="F64" s="59"/>
      <c r="G64" s="59"/>
      <c r="H64" s="60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11</v>
      </c>
    </row>
    <row r="12" spans="2:7" ht="17.25" x14ac:dyDescent="0.3">
      <c r="B12" s="6" t="s">
        <v>12</v>
      </c>
      <c r="F12" s="4"/>
    </row>
    <row r="13" spans="2:7" x14ac:dyDescent="0.25">
      <c r="B13" s="74" t="s">
        <v>13</v>
      </c>
      <c r="F13" s="4"/>
    </row>
    <row r="14" spans="2:7" x14ac:dyDescent="0.25">
      <c r="B14" s="7"/>
      <c r="C14" s="7"/>
      <c r="D14" s="7"/>
      <c r="E14" s="8" t="s">
        <v>9</v>
      </c>
      <c r="F14" s="9" t="s">
        <v>16</v>
      </c>
      <c r="G14" s="9" t="s">
        <v>15</v>
      </c>
    </row>
    <row r="15" spans="2:7" s="5" customFormat="1" x14ac:dyDescent="0.25">
      <c r="B15" s="61" t="s">
        <v>17</v>
      </c>
      <c r="C15" s="61"/>
      <c r="D15" s="61"/>
      <c r="E15" s="47">
        <f>+Balantzea!F39</f>
        <v>57089.421999999999</v>
      </c>
      <c r="F15" s="45">
        <f>+Balantzea!G39</f>
        <v>56602.361999999986</v>
      </c>
      <c r="G15" s="38">
        <f t="shared" ref="G15:G28" si="0">IF(ISERROR($E15/F15),"-",$E15/F15-1)</f>
        <v>8.6049412566919781E-3</v>
      </c>
    </row>
    <row r="16" spans="2:7" x14ac:dyDescent="0.25">
      <c r="B16" s="1" t="s">
        <v>18</v>
      </c>
      <c r="C16" s="19"/>
      <c r="D16" s="19"/>
      <c r="E16" s="48">
        <f>+'[1]2017'!$A$8/1000</f>
        <v>2712.3150000000001</v>
      </c>
      <c r="F16" s="28">
        <f>+'[1]2016'!$A$8/1000</f>
        <v>3197.3589999999999</v>
      </c>
      <c r="G16" s="29">
        <f t="shared" si="0"/>
        <v>-0.15170145110386413</v>
      </c>
    </row>
    <row r="17" spans="2:7" x14ac:dyDescent="0.25">
      <c r="B17" s="1" t="s">
        <v>19</v>
      </c>
      <c r="E17" s="48">
        <f>+Balantzea!F18+Balantzea!F21+Balantzea!F24</f>
        <v>1445.4170000000001</v>
      </c>
      <c r="F17" s="28">
        <f>+Balantzea!G18+Balantzea!G21+Balantzea!G24</f>
        <v>2252.1790000000001</v>
      </c>
      <c r="G17" s="29">
        <f t="shared" si="0"/>
        <v>-0.35821397855143833</v>
      </c>
    </row>
    <row r="18" spans="2:7" x14ac:dyDescent="0.25">
      <c r="B18" s="1" t="s">
        <v>20</v>
      </c>
      <c r="E18" s="48">
        <f>+Balantzea!F33</f>
        <v>514.88400000000001</v>
      </c>
      <c r="F18" s="28">
        <f>+Balantzea!$G$33</f>
        <v>518.67899999999997</v>
      </c>
      <c r="G18" s="29">
        <f t="shared" si="0"/>
        <v>-7.3166640639007463E-3</v>
      </c>
    </row>
    <row r="19" spans="2:7" s="5" customFormat="1" x14ac:dyDescent="0.25">
      <c r="B19" s="5" t="s">
        <v>21</v>
      </c>
      <c r="E19" s="47">
        <f>+Balantzea!F29</f>
        <v>42784.415000000001</v>
      </c>
      <c r="F19" s="45">
        <f>+Balantzea!$G$29</f>
        <v>42764.56</v>
      </c>
      <c r="G19" s="38">
        <f t="shared" si="0"/>
        <v>4.6428631558481648E-4</v>
      </c>
    </row>
    <row r="20" spans="2:7" x14ac:dyDescent="0.25">
      <c r="B20" s="1" t="s">
        <v>22</v>
      </c>
      <c r="E20" s="48">
        <f>+'[2]CM VN'!$D$34/1000</f>
        <v>3142.4949999999999</v>
      </c>
      <c r="F20" s="28">
        <f>+'[2]CM VN'!$E$34/1000</f>
        <v>4058.91</v>
      </c>
      <c r="G20" s="29">
        <f t="shared" si="0"/>
        <v>-0.22577859573136627</v>
      </c>
    </row>
    <row r="21" spans="2:7" s="21" customFormat="1" x14ac:dyDescent="0.25">
      <c r="B21" s="21" t="s">
        <v>23</v>
      </c>
      <c r="E21" s="22">
        <f>+'[2]CM VN'!$D$35/1000</f>
        <v>0</v>
      </c>
      <c r="F21" s="77">
        <f>+'[2]CM VN'!$E$35/1000</f>
        <v>40.024999999999999</v>
      </c>
      <c r="G21" s="66">
        <f t="shared" si="0"/>
        <v>-1</v>
      </c>
    </row>
    <row r="22" spans="2:7" x14ac:dyDescent="0.25">
      <c r="B22" s="5" t="s">
        <v>24</v>
      </c>
      <c r="C22" s="5"/>
      <c r="D22" s="5"/>
      <c r="E22" s="47">
        <f>+Balantzea!$F$44</f>
        <v>41261.106</v>
      </c>
      <c r="F22" s="45">
        <f>+Balantzea!$G$44</f>
        <v>40759.451999999997</v>
      </c>
      <c r="G22" s="38">
        <f t="shared" si="0"/>
        <v>1.2307672831322725E-2</v>
      </c>
    </row>
    <row r="23" spans="2:7" s="5" customFormat="1" x14ac:dyDescent="0.25">
      <c r="B23" s="21" t="s">
        <v>25</v>
      </c>
      <c r="C23" s="21"/>
      <c r="D23" s="21"/>
      <c r="E23" s="49">
        <f>+'[2]Cédulas hipotecarias'!$AL$37/1000</f>
        <v>1710.9252973699997</v>
      </c>
      <c r="F23" s="46">
        <f>+'[2]Cédulas hipotecarias'!$AH$37/1000</f>
        <v>3325.19847338</v>
      </c>
      <c r="G23" s="41">
        <f t="shared" si="0"/>
        <v>-0.48546671392192808</v>
      </c>
    </row>
    <row r="24" spans="2:7" x14ac:dyDescent="0.25">
      <c r="B24" s="54" t="s">
        <v>26</v>
      </c>
      <c r="C24" s="54"/>
      <c r="D24" s="54"/>
      <c r="E24" s="62">
        <f>+E22-E23</f>
        <v>39550.180702630001</v>
      </c>
      <c r="F24" s="63">
        <f>+F22-F23</f>
        <v>37434.253526619999</v>
      </c>
      <c r="G24" s="64">
        <f t="shared" si="0"/>
        <v>5.6523824483513119E-2</v>
      </c>
    </row>
    <row r="25" spans="2:7" s="19" customFormat="1" x14ac:dyDescent="0.25">
      <c r="B25" s="1" t="s">
        <v>27</v>
      </c>
      <c r="C25" s="1"/>
      <c r="D25" s="1"/>
      <c r="E25" s="48">
        <f>+'[2]CM VN'!$D$40/1000</f>
        <v>18989.316522659996</v>
      </c>
      <c r="F25" s="28">
        <f>+'[2]CM VN'!$E$40/1000</f>
        <v>17817.915439289995</v>
      </c>
      <c r="G25" s="29">
        <f t="shared" si="0"/>
        <v>6.5742880381336022E-2</v>
      </c>
    </row>
    <row r="26" spans="2:7" x14ac:dyDescent="0.25">
      <c r="B26" s="5" t="s">
        <v>28</v>
      </c>
      <c r="C26" s="5"/>
      <c r="D26" s="5"/>
      <c r="E26" s="47">
        <f>+E24+E25</f>
        <v>58539.497225289997</v>
      </c>
      <c r="F26" s="45">
        <f>+F24+F25</f>
        <v>55252.168965909994</v>
      </c>
      <c r="G26" s="38">
        <f t="shared" si="0"/>
        <v>5.9496818331389756E-2</v>
      </c>
    </row>
    <row r="27" spans="2:7" s="5" customFormat="1" x14ac:dyDescent="0.25">
      <c r="B27" s="1" t="s">
        <v>29</v>
      </c>
      <c r="C27" s="1"/>
      <c r="D27" s="1"/>
      <c r="E27" s="48">
        <f>+E26+'[2]CM VN'!$D$45/1000</f>
        <v>102287.55822529001</v>
      </c>
      <c r="F27" s="28">
        <f>+F26+'[2]CM VN'!$E$45/1000</f>
        <v>99461.899965909994</v>
      </c>
      <c r="G27" s="29">
        <f t="shared" si="0"/>
        <v>2.8409453874785218E-2</v>
      </c>
    </row>
    <row r="28" spans="2:7" x14ac:dyDescent="0.25">
      <c r="B28" s="5" t="s">
        <v>30</v>
      </c>
      <c r="C28" s="5"/>
      <c r="D28" s="5"/>
      <c r="E28" s="47">
        <f>+Balantzea!F53</f>
        <v>5079.3900000000003</v>
      </c>
      <c r="F28" s="45">
        <f>+Balantzea!$G$53</f>
        <v>4916.7240000000002</v>
      </c>
      <c r="G28" s="38">
        <f t="shared" si="0"/>
        <v>3.3084224373790327E-2</v>
      </c>
    </row>
    <row r="34" spans="2:7" ht="17.25" x14ac:dyDescent="0.3">
      <c r="B34" s="6" t="s">
        <v>14</v>
      </c>
      <c r="F34" s="4"/>
    </row>
    <row r="35" spans="2:7" x14ac:dyDescent="0.25">
      <c r="B35" s="74" t="s">
        <v>13</v>
      </c>
      <c r="F35" s="4"/>
    </row>
    <row r="36" spans="2:7" x14ac:dyDescent="0.25">
      <c r="B36" s="7"/>
      <c r="C36" s="7"/>
      <c r="D36" s="7"/>
      <c r="E36" s="8" t="s">
        <v>9</v>
      </c>
      <c r="F36" s="9" t="s">
        <v>31</v>
      </c>
      <c r="G36" s="9" t="s">
        <v>15</v>
      </c>
    </row>
    <row r="37" spans="2:7" x14ac:dyDescent="0.25">
      <c r="B37" s="61" t="s">
        <v>17</v>
      </c>
      <c r="C37" s="61"/>
      <c r="D37" s="61"/>
      <c r="E37" s="47">
        <f>+E15</f>
        <v>57089.421999999999</v>
      </c>
      <c r="F37" s="45">
        <f>+Balantzea!I39</f>
        <v>57270.014999999999</v>
      </c>
      <c r="G37" s="38">
        <f t="shared" ref="G37:G50" si="1">IF(ISERROR($E37/F37),"-",$E37/F37-1)</f>
        <v>-3.1533604452521624E-3</v>
      </c>
    </row>
    <row r="38" spans="2:7" x14ac:dyDescent="0.25">
      <c r="B38" s="1" t="s">
        <v>18</v>
      </c>
      <c r="C38" s="19"/>
      <c r="D38" s="19"/>
      <c r="E38" s="48">
        <f>+E16</f>
        <v>2712.3150000000001</v>
      </c>
      <c r="F38" s="28">
        <f>+'[3]Jun-2017'!$A$8/1000</f>
        <v>2712.375</v>
      </c>
      <c r="G38" s="29">
        <f t="shared" si="1"/>
        <v>-2.2120835061478772E-5</v>
      </c>
    </row>
    <row r="39" spans="2:7" x14ac:dyDescent="0.25">
      <c r="B39" s="1" t="s">
        <v>19</v>
      </c>
      <c r="E39" s="48">
        <f t="shared" ref="E39:E50" si="2">+E17</f>
        <v>1445.4170000000001</v>
      </c>
      <c r="F39" s="28">
        <f>+Balantzea!I18+Balantzea!I21+Balantzea!$I$24</f>
        <v>1502.7090000000001</v>
      </c>
      <c r="G39" s="29">
        <f t="shared" si="1"/>
        <v>-3.8125811451185765E-2</v>
      </c>
    </row>
    <row r="40" spans="2:7" x14ac:dyDescent="0.25">
      <c r="B40" s="1" t="s">
        <v>20</v>
      </c>
      <c r="E40" s="48">
        <f t="shared" si="2"/>
        <v>514.88400000000001</v>
      </c>
      <c r="F40" s="28">
        <f>+Balantzea!$I$33</f>
        <v>501.53300000000002</v>
      </c>
      <c r="G40" s="29">
        <f t="shared" si="1"/>
        <v>2.6620381909066904E-2</v>
      </c>
    </row>
    <row r="41" spans="2:7" x14ac:dyDescent="0.25">
      <c r="B41" s="5" t="s">
        <v>21</v>
      </c>
      <c r="C41" s="5"/>
      <c r="D41" s="5"/>
      <c r="E41" s="47">
        <f t="shared" si="2"/>
        <v>42784.415000000001</v>
      </c>
      <c r="F41" s="45">
        <f>+Balantzea!$I$29</f>
        <v>44039.108999999997</v>
      </c>
      <c r="G41" s="38">
        <f t="shared" si="1"/>
        <v>-2.8490449250460403E-2</v>
      </c>
    </row>
    <row r="42" spans="2:7" x14ac:dyDescent="0.25">
      <c r="B42" s="1" t="s">
        <v>22</v>
      </c>
      <c r="E42" s="48">
        <f t="shared" si="2"/>
        <v>3142.4949999999999</v>
      </c>
      <c r="F42" s="28">
        <f>+'[4]CM VN'!$D$34/1000</f>
        <v>3150.2289999999998</v>
      </c>
      <c r="G42" s="29">
        <f t="shared" si="1"/>
        <v>-2.4550596163008809E-3</v>
      </c>
    </row>
    <row r="43" spans="2:7" s="21" customFormat="1" x14ac:dyDescent="0.25">
      <c r="B43" s="21" t="s">
        <v>23</v>
      </c>
      <c r="E43" s="22">
        <f t="shared" si="2"/>
        <v>0</v>
      </c>
      <c r="F43" s="23">
        <f>+'[4]CM VN'!$D$35/1000</f>
        <v>0</v>
      </c>
      <c r="G43" s="66" t="str">
        <f t="shared" si="1"/>
        <v>-</v>
      </c>
    </row>
    <row r="44" spans="2:7" x14ac:dyDescent="0.25">
      <c r="B44" s="5" t="s">
        <v>24</v>
      </c>
      <c r="C44" s="5"/>
      <c r="D44" s="5"/>
      <c r="E44" s="47">
        <f t="shared" si="2"/>
        <v>41261.106</v>
      </c>
      <c r="F44" s="45">
        <f>+Balantzea!$I$44</f>
        <v>41362.440999999999</v>
      </c>
      <c r="G44" s="38">
        <f t="shared" si="1"/>
        <v>-2.4499279430824084E-3</v>
      </c>
    </row>
    <row r="45" spans="2:7" x14ac:dyDescent="0.25">
      <c r="B45" s="21" t="s">
        <v>25</v>
      </c>
      <c r="C45" s="21"/>
      <c r="D45" s="21"/>
      <c r="E45" s="49">
        <f t="shared" si="2"/>
        <v>1710.9252973699997</v>
      </c>
      <c r="F45" s="46">
        <f>+'[2]Cédulas hipotecarias'!$AK$37/1000</f>
        <v>1720.24100937</v>
      </c>
      <c r="G45" s="41">
        <f t="shared" si="1"/>
        <v>-5.4153528193191525E-3</v>
      </c>
    </row>
    <row r="46" spans="2:7" x14ac:dyDescent="0.25">
      <c r="B46" s="54" t="s">
        <v>26</v>
      </c>
      <c r="C46" s="54"/>
      <c r="D46" s="54"/>
      <c r="E46" s="62">
        <f t="shared" si="2"/>
        <v>39550.180702630001</v>
      </c>
      <c r="F46" s="63">
        <f>+F44-F45</f>
        <v>39642.199990629997</v>
      </c>
      <c r="G46" s="64">
        <f t="shared" si="1"/>
        <v>-2.3212457437212786E-3</v>
      </c>
    </row>
    <row r="47" spans="2:7" x14ac:dyDescent="0.25">
      <c r="B47" s="1" t="s">
        <v>27</v>
      </c>
      <c r="E47" s="48">
        <f t="shared" si="2"/>
        <v>18989.316522659996</v>
      </c>
      <c r="F47" s="28">
        <f>+'[4]CM VN'!$D$40/1000</f>
        <v>18917.485908609993</v>
      </c>
      <c r="G47" s="29">
        <f t="shared" si="1"/>
        <v>3.7970486351630583E-3</v>
      </c>
    </row>
    <row r="48" spans="2:7" x14ac:dyDescent="0.25">
      <c r="B48" s="5" t="s">
        <v>28</v>
      </c>
      <c r="C48" s="5"/>
      <c r="D48" s="5"/>
      <c r="E48" s="47">
        <f t="shared" si="2"/>
        <v>58539.497225289997</v>
      </c>
      <c r="F48" s="45">
        <f>+F46+F47</f>
        <v>58559.685899239994</v>
      </c>
      <c r="G48" s="38">
        <f t="shared" si="1"/>
        <v>-3.4475379503806636E-4</v>
      </c>
    </row>
    <row r="49" spans="2:7" x14ac:dyDescent="0.25">
      <c r="B49" s="1" t="s">
        <v>29</v>
      </c>
      <c r="E49" s="48">
        <f t="shared" si="2"/>
        <v>102287.55822529001</v>
      </c>
      <c r="F49" s="28">
        <f>+F48+'[4]CM VN'!$D$45/1000</f>
        <v>103696.29289924</v>
      </c>
      <c r="G49" s="29">
        <f t="shared" si="1"/>
        <v>-1.3585198029391843E-2</v>
      </c>
    </row>
    <row r="50" spans="2:7" x14ac:dyDescent="0.25">
      <c r="B50" s="5" t="s">
        <v>30</v>
      </c>
      <c r="C50" s="5"/>
      <c r="D50" s="5"/>
      <c r="E50" s="47">
        <f t="shared" si="2"/>
        <v>5079.3900000000003</v>
      </c>
      <c r="F50" s="45">
        <f>+Balantzea!$I$53</f>
        <v>5018.741</v>
      </c>
      <c r="G50" s="38">
        <f t="shared" si="1"/>
        <v>1.2084504858888012E-2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32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9</v>
      </c>
      <c r="F14" s="9" t="s">
        <v>16</v>
      </c>
      <c r="G14" s="9" t="s">
        <v>15</v>
      </c>
    </row>
    <row r="15" spans="2:7" x14ac:dyDescent="0.25">
      <c r="B15" s="1" t="s">
        <v>0</v>
      </c>
      <c r="E15" s="30">
        <f>+[5]general!$AC$39</f>
        <v>5.7755654210747187E-2</v>
      </c>
      <c r="F15" s="31">
        <f>+[5]general!$Y$39</f>
        <v>5.2423611768332261E-2</v>
      </c>
      <c r="G15" s="32" t="str">
        <f>IF(ISERROR($E15-F15),"-",CONCATENATE((FIXED($E15-F15,4)*10000)," op"))</f>
        <v>53 op</v>
      </c>
    </row>
    <row r="16" spans="2:7" x14ac:dyDescent="0.25">
      <c r="B16" s="1" t="s">
        <v>3</v>
      </c>
      <c r="E16" s="30">
        <f>+[5]general!$AC$74</f>
        <v>6.2154715397274025E-2</v>
      </c>
      <c r="F16" s="31">
        <f>+[5]general!$Y$74</f>
        <v>5.6399074495919965E-2</v>
      </c>
      <c r="G16" s="32" t="str">
        <f t="shared" ref="G16:G19" si="0">IF(ISERROR($E16-F16),"-",CONCATENATE((FIXED($E16-F16,4)*10000)," op"))</f>
        <v>58 op</v>
      </c>
    </row>
    <row r="17" spans="2:7" x14ac:dyDescent="0.25">
      <c r="B17" s="1" t="s">
        <v>1</v>
      </c>
      <c r="E17" s="30">
        <f>+[5]general!$AC$42</f>
        <v>4.9894925816226943E-3</v>
      </c>
      <c r="F17" s="31">
        <f>+[5]general!$Y$42</f>
        <v>4.3329861479097006E-3</v>
      </c>
      <c r="G17" s="32" t="str">
        <f t="shared" si="0"/>
        <v>7 op</v>
      </c>
    </row>
    <row r="18" spans="2:7" x14ac:dyDescent="0.25">
      <c r="B18" s="1" t="s">
        <v>2</v>
      </c>
      <c r="E18" s="30">
        <f>+[5]general!$AC$45</f>
        <v>9.3341925855500267E-3</v>
      </c>
      <c r="F18" s="31">
        <f>+[5]general!$Y$45</f>
        <v>8.049860170951148E-3</v>
      </c>
      <c r="G18" s="32" t="str">
        <f t="shared" si="0"/>
        <v>13 op</v>
      </c>
    </row>
    <row r="19" spans="2:7" x14ac:dyDescent="0.25">
      <c r="B19" s="1" t="s">
        <v>33</v>
      </c>
      <c r="E19" s="30">
        <f>+[5]general!$AC$48</f>
        <v>0.48158467688301154</v>
      </c>
      <c r="F19" s="31">
        <f>+[5]general!$Y$48</f>
        <v>0.6234882190476525</v>
      </c>
      <c r="G19" s="32" t="str">
        <f t="shared" si="0"/>
        <v>-1419 op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14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9</v>
      </c>
      <c r="F30" s="9" t="s">
        <v>31</v>
      </c>
      <c r="G30" s="9" t="s">
        <v>15</v>
      </c>
    </row>
    <row r="31" spans="2:7" x14ac:dyDescent="0.25">
      <c r="B31" s="1" t="s">
        <v>0</v>
      </c>
      <c r="E31" s="30">
        <f>+E15</f>
        <v>5.7755654210747187E-2</v>
      </c>
      <c r="F31" s="31">
        <f>+[5]general!$AB$39</f>
        <v>5.5208190286580243E-2</v>
      </c>
      <c r="G31" s="32" t="str">
        <f>IF(ISERROR($E31-F31),"-",CONCATENATE((FIXED($E31-F31,4)*10000)," op"))</f>
        <v>25 op</v>
      </c>
    </row>
    <row r="32" spans="2:7" x14ac:dyDescent="0.25">
      <c r="B32" s="1" t="s">
        <v>3</v>
      </c>
      <c r="E32" s="30">
        <f t="shared" ref="E32:E35" si="1">+E16</f>
        <v>6.2154715397274025E-2</v>
      </c>
      <c r="F32" s="31">
        <f>+[5]general!$AB$74</f>
        <v>5.9407979585016285E-2</v>
      </c>
      <c r="G32" s="32" t="str">
        <f t="shared" ref="G32:G35" si="2">IF(ISERROR($E32-F32),"-",CONCATENATE((FIXED($E32-F32,4)*10000)," op"))</f>
        <v>27 op</v>
      </c>
    </row>
    <row r="33" spans="2:7" x14ac:dyDescent="0.25">
      <c r="B33" s="1" t="s">
        <v>1</v>
      </c>
      <c r="E33" s="30">
        <f t="shared" si="1"/>
        <v>4.9894925816226943E-3</v>
      </c>
      <c r="F33" s="31">
        <f>+[5]general!$AB$42</f>
        <v>4.7220544961743428E-3</v>
      </c>
      <c r="G33" s="32" t="str">
        <f t="shared" si="2"/>
        <v>3 op</v>
      </c>
    </row>
    <row r="34" spans="2:7" x14ac:dyDescent="0.25">
      <c r="B34" s="1" t="s">
        <v>2</v>
      </c>
      <c r="E34" s="30">
        <f t="shared" si="1"/>
        <v>9.3341925855500267E-3</v>
      </c>
      <c r="F34" s="31">
        <f>+[5]general!$AB$45</f>
        <v>8.8338146746114333E-3</v>
      </c>
      <c r="G34" s="32" t="str">
        <f t="shared" si="2"/>
        <v>5 op</v>
      </c>
    </row>
    <row r="35" spans="2:7" x14ac:dyDescent="0.25">
      <c r="B35" s="1" t="s">
        <v>33</v>
      </c>
      <c r="E35" s="30">
        <f t="shared" si="1"/>
        <v>0.48158467688301154</v>
      </c>
      <c r="F35" s="31">
        <f>+[5]general!$AB$48</f>
        <v>0.48509245283547248</v>
      </c>
      <c r="G35" s="32" t="str">
        <f t="shared" si="2"/>
        <v>-35 op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34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9</v>
      </c>
      <c r="F14" s="9" t="s">
        <v>16</v>
      </c>
      <c r="G14" s="9" t="s">
        <v>15</v>
      </c>
    </row>
    <row r="15" spans="2:7" x14ac:dyDescent="0.25">
      <c r="B15" s="1" t="s">
        <v>35</v>
      </c>
      <c r="E15" s="30">
        <f>+Kaudimena!F26</f>
        <v>0.15243595304367932</v>
      </c>
      <c r="F15" s="31">
        <f>+Kaudimena!G26</f>
        <v>0.15034960967037347</v>
      </c>
      <c r="G15" s="32" t="str">
        <f>IF(ISERROR($E15-F15),"-",CONCATENATE((FIXED($E15-F15,4)*10000)," op"))</f>
        <v>21 op</v>
      </c>
    </row>
    <row r="16" spans="2:7" x14ac:dyDescent="0.25">
      <c r="B16" s="1" t="s">
        <v>36</v>
      </c>
      <c r="E16" s="30">
        <f>+Kaudimena!F27</f>
        <v>0.15243595304367932</v>
      </c>
      <c r="F16" s="31">
        <f>+Kaudimena!G27</f>
        <v>0.15034960967037347</v>
      </c>
      <c r="G16" s="32" t="str">
        <f t="shared" ref="G16:G23" si="0">IF(ISERROR($E16-F16),"-",CONCATENATE((FIXED($E16-F16,4)*10000)," op"))</f>
        <v>21 op</v>
      </c>
    </row>
    <row r="17" spans="2:7" x14ac:dyDescent="0.25">
      <c r="B17" s="1" t="s">
        <v>37</v>
      </c>
      <c r="E17" s="30">
        <f>+Kaudimena!F28</f>
        <v>0.15243595304367932</v>
      </c>
      <c r="F17" s="31">
        <f>+Kaudimena!G28</f>
        <v>0.15141561331304265</v>
      </c>
      <c r="G17" s="32" t="str">
        <f t="shared" si="0"/>
        <v>10 op</v>
      </c>
    </row>
    <row r="18" spans="2:7" x14ac:dyDescent="0.25">
      <c r="B18" s="1" t="s">
        <v>38</v>
      </c>
      <c r="E18" s="30">
        <f>+Kaudimena!F29</f>
        <v>8.059088281366085E-2</v>
      </c>
      <c r="F18" s="31">
        <f>+Kaudimena!G29</f>
        <v>8.0882266307082826E-2</v>
      </c>
      <c r="G18" s="32" t="str">
        <f t="shared" si="0"/>
        <v>-3 op</v>
      </c>
    </row>
    <row r="19" spans="2:7" s="21" customFormat="1" x14ac:dyDescent="0.25">
      <c r="B19" s="21" t="s">
        <v>7</v>
      </c>
      <c r="E19" s="58">
        <f>+Kaudimena!F31</f>
        <v>0.1486974203180918</v>
      </c>
      <c r="F19" s="59">
        <f>+Kaudimena!G31</f>
        <v>0.14563705784318207</v>
      </c>
      <c r="G19" s="32" t="str">
        <f t="shared" si="0"/>
        <v>31 op</v>
      </c>
    </row>
    <row r="20" spans="2:7" s="21" customFormat="1" x14ac:dyDescent="0.25">
      <c r="B20" s="21" t="s">
        <v>39</v>
      </c>
      <c r="E20" s="58">
        <f>+Kaudimena!F33</f>
        <v>7.8980304768099807E-2</v>
      </c>
      <c r="F20" s="59">
        <f>+Kaudimena!G33</f>
        <v>7.903926428460864E-2</v>
      </c>
      <c r="G20" s="32" t="str">
        <f t="shared" si="0"/>
        <v>-1 op</v>
      </c>
    </row>
    <row r="21" spans="2:7" x14ac:dyDescent="0.25">
      <c r="B21" s="1" t="s">
        <v>4</v>
      </c>
      <c r="E21" s="30">
        <f>+[6]LCR!$D$39</f>
        <v>1.6385379170732357</v>
      </c>
      <c r="F21" s="31">
        <f>+[6]LCR!$K$27</f>
        <v>1.5941168823753764</v>
      </c>
      <c r="G21" s="32" t="str">
        <f t="shared" si="0"/>
        <v>444 op</v>
      </c>
    </row>
    <row r="22" spans="2:7" x14ac:dyDescent="0.25">
      <c r="B22" s="1" t="s">
        <v>5</v>
      </c>
      <c r="E22" s="79">
        <f>+[6]NSFR!$D$19</f>
        <v>1.1869283723147415</v>
      </c>
      <c r="F22" s="31">
        <f>+[6]NSFR!$D$15</f>
        <v>1.1299064668065322</v>
      </c>
      <c r="G22" s="32" t="str">
        <f t="shared" si="0"/>
        <v>570 op</v>
      </c>
    </row>
    <row r="23" spans="2:7" x14ac:dyDescent="0.25">
      <c r="B23" s="1" t="s">
        <v>8</v>
      </c>
      <c r="E23" s="30">
        <f>+'[6]LOAN TO DEPOSITS'!$O$23</f>
        <v>1.0746669729756841</v>
      </c>
      <c r="F23" s="31">
        <f>+'[6]LOAN TO DEPOSITS'!$O$16</f>
        <v>1.1320018118683342</v>
      </c>
      <c r="G23" s="32" t="str">
        <f t="shared" si="0"/>
        <v>-573 op</v>
      </c>
    </row>
    <row r="29" spans="2:7" ht="17.25" x14ac:dyDescent="0.3">
      <c r="B29" s="6" t="s">
        <v>14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9</v>
      </c>
      <c r="F31" s="9" t="s">
        <v>31</v>
      </c>
      <c r="G31" s="9" t="s">
        <v>15</v>
      </c>
    </row>
    <row r="32" spans="2:7" x14ac:dyDescent="0.25">
      <c r="B32" s="1" t="s">
        <v>35</v>
      </c>
      <c r="E32" s="30">
        <f t="shared" ref="E32:E40" si="1">+E15</f>
        <v>0.15243595304367932</v>
      </c>
      <c r="F32" s="31">
        <f>+Kaudimena!G54</f>
        <v>0.15178224323694159</v>
      </c>
      <c r="G32" s="32" t="str">
        <f>IF(ISERROR($E32-F32),"-",CONCATENATE((FIXED($E32-F32,4)*10000)," op"))</f>
        <v>7 op</v>
      </c>
    </row>
    <row r="33" spans="2:7" x14ac:dyDescent="0.25">
      <c r="B33" s="1" t="s">
        <v>36</v>
      </c>
      <c r="E33" s="30">
        <f t="shared" si="1"/>
        <v>0.15243595304367932</v>
      </c>
      <c r="F33" s="31">
        <f>+Kaudimena!G55</f>
        <v>0.15178224323694159</v>
      </c>
      <c r="G33" s="32" t="str">
        <f t="shared" ref="G33:G40" si="2">IF(ISERROR($E33-F33),"-",CONCATENATE((FIXED($E33-F33,4)*10000)," op"))</f>
        <v>7 op</v>
      </c>
    </row>
    <row r="34" spans="2:7" x14ac:dyDescent="0.25">
      <c r="B34" s="1" t="s">
        <v>37</v>
      </c>
      <c r="E34" s="30">
        <f t="shared" si="1"/>
        <v>0.15243595304367932</v>
      </c>
      <c r="F34" s="31">
        <f>+Kaudimena!G56</f>
        <v>0.15178224323694159</v>
      </c>
      <c r="G34" s="32" t="str">
        <f t="shared" si="2"/>
        <v>7 op</v>
      </c>
    </row>
    <row r="35" spans="2:7" s="21" customFormat="1" x14ac:dyDescent="0.25">
      <c r="B35" s="1" t="s">
        <v>38</v>
      </c>
      <c r="C35" s="1"/>
      <c r="D35" s="1"/>
      <c r="E35" s="30">
        <f t="shared" si="1"/>
        <v>8.059088281366085E-2</v>
      </c>
      <c r="F35" s="31">
        <f>+Kaudimena!G57</f>
        <v>8.0429995264640661E-2</v>
      </c>
      <c r="G35" s="32" t="str">
        <f t="shared" si="2"/>
        <v>2 op</v>
      </c>
    </row>
    <row r="36" spans="2:7" s="21" customFormat="1" x14ac:dyDescent="0.25">
      <c r="B36" s="21" t="s">
        <v>7</v>
      </c>
      <c r="E36" s="58">
        <f t="shared" si="1"/>
        <v>0.1486974203180918</v>
      </c>
      <c r="F36" s="59">
        <f>+Kaudimena!G59</f>
        <v>0.14824736290360591</v>
      </c>
      <c r="G36" s="32" t="str">
        <f t="shared" si="2"/>
        <v>5 op</v>
      </c>
    </row>
    <row r="37" spans="2:7" x14ac:dyDescent="0.25">
      <c r="B37" s="21" t="s">
        <v>39</v>
      </c>
      <c r="C37" s="21"/>
      <c r="D37" s="21"/>
      <c r="E37" s="58">
        <f t="shared" si="1"/>
        <v>7.8980304768099807E-2</v>
      </c>
      <c r="F37" s="59">
        <f>+Kaudimena!G61</f>
        <v>7.8927927272805967E-2</v>
      </c>
      <c r="G37" s="32" t="str">
        <f t="shared" si="2"/>
        <v>1 op</v>
      </c>
    </row>
    <row r="38" spans="2:7" x14ac:dyDescent="0.25">
      <c r="B38" s="1" t="s">
        <v>4</v>
      </c>
      <c r="E38" s="30">
        <f t="shared" si="1"/>
        <v>1.6385379170732357</v>
      </c>
      <c r="F38" s="31">
        <f>+[6]LCR!$K$36</f>
        <v>1.62903112084373</v>
      </c>
      <c r="G38" s="32" t="str">
        <f t="shared" si="2"/>
        <v>95 op</v>
      </c>
    </row>
    <row r="39" spans="2:7" x14ac:dyDescent="0.25">
      <c r="B39" s="1" t="s">
        <v>5</v>
      </c>
      <c r="E39" s="30">
        <f t="shared" si="1"/>
        <v>1.1869283723147415</v>
      </c>
      <c r="F39" s="31">
        <f>+[6]NSFR!$D$18</f>
        <v>1.1738449428726645</v>
      </c>
      <c r="G39" s="32" t="str">
        <f t="shared" si="2"/>
        <v>131 op</v>
      </c>
    </row>
    <row r="40" spans="2:7" x14ac:dyDescent="0.25">
      <c r="B40" s="1" t="s">
        <v>8</v>
      </c>
      <c r="E40" s="30">
        <f t="shared" si="1"/>
        <v>1.0746669729756841</v>
      </c>
      <c r="F40" s="31">
        <f>+'[6]LOAN TO DEPOSITS'!$O$20</f>
        <v>1.1041662916169794</v>
      </c>
      <c r="G40" s="32" t="str">
        <f t="shared" si="2"/>
        <v>-295 op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40</v>
      </c>
    </row>
    <row r="12" spans="2:9" ht="17.25" x14ac:dyDescent="0.3">
      <c r="B12" s="6" t="s">
        <v>12</v>
      </c>
      <c r="F12" s="4"/>
    </row>
    <row r="13" spans="2:9" x14ac:dyDescent="0.25">
      <c r="B13" s="75" t="s">
        <v>41</v>
      </c>
      <c r="F13" s="4"/>
    </row>
    <row r="14" spans="2:9" x14ac:dyDescent="0.25">
      <c r="B14" s="7"/>
      <c r="C14" s="7"/>
      <c r="D14" s="7"/>
      <c r="E14" s="8" t="s">
        <v>9</v>
      </c>
      <c r="F14" s="9" t="s">
        <v>16</v>
      </c>
      <c r="G14" s="9" t="s">
        <v>15</v>
      </c>
    </row>
    <row r="15" spans="2:9" x14ac:dyDescent="0.25">
      <c r="B15" s="1" t="s">
        <v>42</v>
      </c>
      <c r="E15" s="33">
        <f>+[5]general!$AC$54</f>
        <v>5652</v>
      </c>
      <c r="F15" s="34">
        <f>+[5]general!$Y$54</f>
        <v>5965</v>
      </c>
      <c r="G15" s="35">
        <f>IF(ISERROR($E15/F15),"-",$E15/F15-1)</f>
        <v>-5.2472757753562416E-2</v>
      </c>
      <c r="H15" s="12"/>
      <c r="I15" s="12"/>
    </row>
    <row r="16" spans="2:9" x14ac:dyDescent="0.25">
      <c r="B16" s="1" t="s">
        <v>43</v>
      </c>
      <c r="E16" s="33">
        <f>+[5]general!$AC$55</f>
        <v>931</v>
      </c>
      <c r="F16" s="34">
        <f>+[5]general!$Y$55</f>
        <v>958</v>
      </c>
      <c r="G16" s="35">
        <f t="shared" ref="G16:G20" si="0">IF(ISERROR($E16/F16),"-",$E16/F16-1)</f>
        <v>-2.8183716075156573E-2</v>
      </c>
      <c r="H16" s="12"/>
      <c r="I16" s="12"/>
    </row>
    <row r="17" spans="2:9" x14ac:dyDescent="0.25">
      <c r="B17" s="1" t="s">
        <v>44</v>
      </c>
      <c r="E17" s="33">
        <f>+[5]general!$AC$56</f>
        <v>2595956</v>
      </c>
      <c r="F17" s="34">
        <f>+[5]general!$Y$56</f>
        <v>2690924</v>
      </c>
      <c r="G17" s="35">
        <f t="shared" si="0"/>
        <v>-3.529196662559031E-2</v>
      </c>
      <c r="H17" s="12"/>
      <c r="I17" s="12"/>
    </row>
    <row r="18" spans="2:9" x14ac:dyDescent="0.25">
      <c r="B18" s="1" t="s">
        <v>45</v>
      </c>
      <c r="E18" s="33">
        <f>+[5]general!$AC$57</f>
        <v>2447264</v>
      </c>
      <c r="F18" s="34">
        <f>+[5]general!$Y$57</f>
        <v>2537543</v>
      </c>
      <c r="G18" s="35">
        <f t="shared" si="0"/>
        <v>-3.5577328147739729E-2</v>
      </c>
      <c r="H18" s="12"/>
      <c r="I18" s="12"/>
    </row>
    <row r="19" spans="2:9" x14ac:dyDescent="0.25">
      <c r="B19" s="1" t="s">
        <v>46</v>
      </c>
      <c r="E19" s="33">
        <f>+[5]general!$AC$58</f>
        <v>148692</v>
      </c>
      <c r="F19" s="34">
        <f>+[5]general!$Y$58</f>
        <v>153381</v>
      </c>
      <c r="G19" s="35">
        <f t="shared" si="0"/>
        <v>-3.0570931210515018E-2</v>
      </c>
      <c r="H19" s="12"/>
      <c r="I19" s="12"/>
    </row>
    <row r="20" spans="2:9" x14ac:dyDescent="0.25">
      <c r="B20" s="1" t="s">
        <v>47</v>
      </c>
      <c r="E20" s="33">
        <f>+[5]general!$AC$59</f>
        <v>1977</v>
      </c>
      <c r="F20" s="34">
        <f>+[5]general!$Y$59</f>
        <v>1997</v>
      </c>
      <c r="G20" s="35">
        <f t="shared" si="0"/>
        <v>-1.001502253380071E-2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14</v>
      </c>
      <c r="F28" s="4"/>
      <c r="H28" s="12"/>
      <c r="I28" s="12"/>
    </row>
    <row r="29" spans="2:9" x14ac:dyDescent="0.25">
      <c r="B29" s="75" t="s">
        <v>41</v>
      </c>
      <c r="F29" s="4"/>
      <c r="H29" s="12"/>
      <c r="I29" s="12"/>
    </row>
    <row r="30" spans="2:9" x14ac:dyDescent="0.25">
      <c r="B30" s="7"/>
      <c r="C30" s="7"/>
      <c r="D30" s="7"/>
      <c r="E30" s="8" t="s">
        <v>9</v>
      </c>
      <c r="F30" s="9" t="s">
        <v>31</v>
      </c>
      <c r="G30" s="9" t="s">
        <v>15</v>
      </c>
      <c r="H30" s="12"/>
      <c r="I30" s="12"/>
    </row>
    <row r="31" spans="2:9" x14ac:dyDescent="0.25">
      <c r="B31" s="1" t="s">
        <v>42</v>
      </c>
      <c r="E31" s="33">
        <f>+E15</f>
        <v>5652</v>
      </c>
      <c r="F31" s="34">
        <f>+[5]general!$AB$54</f>
        <v>5689</v>
      </c>
      <c r="G31" s="35">
        <f>IF(ISERROR($E31/F31),"-",$E31/F31-1)</f>
        <v>-6.5037792230620006E-3</v>
      </c>
      <c r="H31" s="12"/>
      <c r="I31" s="12"/>
    </row>
    <row r="32" spans="2:9" x14ac:dyDescent="0.25">
      <c r="B32" s="1" t="s">
        <v>43</v>
      </c>
      <c r="E32" s="33">
        <f t="shared" ref="E32:E36" si="1">+E16</f>
        <v>931</v>
      </c>
      <c r="F32" s="34">
        <f>+[5]general!$AB$55</f>
        <v>934</v>
      </c>
      <c r="G32" s="35">
        <f t="shared" ref="G32:G36" si="2">IF(ISERROR($E32/F32),"-",$E32/F32-1)</f>
        <v>-3.2119914346895317E-3</v>
      </c>
      <c r="H32" s="12"/>
      <c r="I32" s="12"/>
    </row>
    <row r="33" spans="2:9" x14ac:dyDescent="0.25">
      <c r="B33" s="1" t="s">
        <v>44</v>
      </c>
      <c r="E33" s="33">
        <f t="shared" si="1"/>
        <v>2595956</v>
      </c>
      <c r="F33" s="34">
        <f>+[5]general!$AB$56</f>
        <v>2614691</v>
      </c>
      <c r="G33" s="35">
        <f t="shared" si="2"/>
        <v>-7.165282628042835E-3</v>
      </c>
      <c r="H33" s="12"/>
      <c r="I33" s="12"/>
    </row>
    <row r="34" spans="2:9" x14ac:dyDescent="0.25">
      <c r="B34" s="1" t="s">
        <v>45</v>
      </c>
      <c r="E34" s="33">
        <f t="shared" si="1"/>
        <v>2447264</v>
      </c>
      <c r="F34" s="34">
        <f>+[5]general!$AB$57</f>
        <v>2464985</v>
      </c>
      <c r="G34" s="35">
        <f t="shared" si="2"/>
        <v>-7.1890904001443712E-3</v>
      </c>
      <c r="H34" s="12"/>
      <c r="I34" s="12"/>
    </row>
    <row r="35" spans="2:9" x14ac:dyDescent="0.25">
      <c r="B35" s="1" t="s">
        <v>46</v>
      </c>
      <c r="E35" s="33">
        <f t="shared" si="1"/>
        <v>148692</v>
      </c>
      <c r="F35" s="34">
        <f>+[5]general!$AB$58</f>
        <v>149706</v>
      </c>
      <c r="G35" s="35">
        <f t="shared" si="2"/>
        <v>-6.7732756202155686E-3</v>
      </c>
      <c r="H35" s="12"/>
      <c r="I35" s="12"/>
    </row>
    <row r="36" spans="2:9" x14ac:dyDescent="0.25">
      <c r="B36" s="1" t="s">
        <v>47</v>
      </c>
      <c r="E36" s="33">
        <f t="shared" si="1"/>
        <v>1977</v>
      </c>
      <c r="F36" s="34">
        <f>+[5]general!$AB$59</f>
        <v>1981</v>
      </c>
      <c r="G36" s="35">
        <f t="shared" si="2"/>
        <v>-2.0191822311963481E-3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4" t="s">
        <v>13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9</v>
      </c>
      <c r="I14" s="9" t="s">
        <v>16</v>
      </c>
      <c r="J14" s="9" t="s">
        <v>15</v>
      </c>
    </row>
    <row r="15" spans="2:10" x14ac:dyDescent="0.25">
      <c r="B15" s="5" t="s">
        <v>49</v>
      </c>
      <c r="C15" s="5"/>
      <c r="D15" s="5"/>
      <c r="E15" s="5"/>
      <c r="F15" s="5"/>
      <c r="G15" s="5"/>
      <c r="H15" s="17">
        <f>+'[7]660201'!$C$9/1000</f>
        <v>416.10399999999998</v>
      </c>
      <c r="I15" s="37">
        <f>+'[8]660201'!$C$9/1000</f>
        <v>420.46</v>
      </c>
      <c r="J15" s="38">
        <f>IF(ISERROR($H15/I15),"-",$H15/I15-1)</f>
        <v>-1.0360081815154798E-2</v>
      </c>
    </row>
    <row r="16" spans="2:10" x14ac:dyDescent="0.25">
      <c r="B16" s="1" t="s">
        <v>50</v>
      </c>
      <c r="H16" s="20">
        <f>+'[7]660201'!$C$10/1000</f>
        <v>32.173999999999999</v>
      </c>
      <c r="I16" s="25">
        <f>+'[8]660201'!$C$10/1000</f>
        <v>56.122999999999998</v>
      </c>
      <c r="J16" s="35">
        <f t="shared" ref="J16:J40" si="0">IF(ISERROR($H16/I16),"-",$H16/I16-1)</f>
        <v>-0.42672344671525042</v>
      </c>
    </row>
    <row r="17" spans="2:11" x14ac:dyDescent="0.25">
      <c r="B17" s="1" t="s">
        <v>51</v>
      </c>
      <c r="H17" s="20">
        <f>+'[7]660201'!$C$11/1000</f>
        <v>11.222</v>
      </c>
      <c r="I17" s="25">
        <f>+'[8]660201'!$C$11/1000</f>
        <v>40.725000000000001</v>
      </c>
      <c r="J17" s="35">
        <f t="shared" si="0"/>
        <v>-0.72444444444444445</v>
      </c>
    </row>
    <row r="18" spans="2:11" x14ac:dyDescent="0.25">
      <c r="B18" s="5" t="s">
        <v>52</v>
      </c>
      <c r="C18" s="5"/>
      <c r="D18" s="5"/>
      <c r="E18" s="5"/>
      <c r="F18" s="5"/>
      <c r="G18" s="5"/>
      <c r="H18" s="17">
        <f>+('[7]660201'!$C$12-'[7]660201'!$C$13)/1000</f>
        <v>280.67700000000002</v>
      </c>
      <c r="I18" s="37">
        <f>+('[8]660201'!$C$12-'[8]660201'!$C$13)/1000</f>
        <v>257.43099999999998</v>
      </c>
      <c r="J18" s="38">
        <f t="shared" si="0"/>
        <v>9.0299925028454409E-2</v>
      </c>
    </row>
    <row r="19" spans="2:11" x14ac:dyDescent="0.25">
      <c r="B19" s="1" t="s">
        <v>53</v>
      </c>
      <c r="H19" s="20">
        <f>+SUM('[7]660201'!$C$14:$C$17)/1000</f>
        <v>245.44499999999999</v>
      </c>
      <c r="I19" s="25">
        <f>+SUM('[8]660201'!$C$14:$C$17)/1000</f>
        <v>50.152999999999999</v>
      </c>
      <c r="J19" s="29" t="s">
        <v>150</v>
      </c>
    </row>
    <row r="20" spans="2:11" x14ac:dyDescent="0.25">
      <c r="B20" s="1" t="s">
        <v>54</v>
      </c>
      <c r="H20" s="20">
        <f>+'[7]660201'!$C$18/1000</f>
        <v>2.016</v>
      </c>
      <c r="I20" s="25">
        <f>+'[8]660201'!$C$18/1000</f>
        <v>2.8340000000000001</v>
      </c>
      <c r="J20" s="35">
        <f t="shared" si="0"/>
        <v>-0.28863796753705007</v>
      </c>
    </row>
    <row r="21" spans="2:11" x14ac:dyDescent="0.25">
      <c r="B21" t="s">
        <v>55</v>
      </c>
      <c r="H21" s="20">
        <f>+('[7]660201'!$C$19-'[7]660201'!$C$20+'[7]660201'!$C$22-'[7]660201'!$C$23)/1000</f>
        <v>70.808999999999997</v>
      </c>
      <c r="I21" s="25">
        <f>+('[8]660201'!$C$19-'[8]660201'!$C$20+'[8]660201'!$C$22-'[8]660201'!$C$23)/1000</f>
        <v>58.715000000000003</v>
      </c>
      <c r="J21" s="35">
        <f t="shared" si="0"/>
        <v>0.20597802946436161</v>
      </c>
    </row>
    <row r="22" spans="2:11" ht="17.25" x14ac:dyDescent="0.3">
      <c r="B22" s="6" t="s">
        <v>56</v>
      </c>
      <c r="C22" s="6"/>
      <c r="D22" s="6"/>
      <c r="E22" s="6"/>
      <c r="F22" s="6"/>
      <c r="G22" s="6"/>
      <c r="H22" s="18">
        <f>SUM(H15:H21)</f>
        <v>1058.4469999999999</v>
      </c>
      <c r="I22" s="27">
        <f>SUM(I15:I21)</f>
        <v>886.44100000000003</v>
      </c>
      <c r="J22" s="39">
        <f t="shared" si="0"/>
        <v>0.19404111497550303</v>
      </c>
      <c r="K22" s="12"/>
    </row>
    <row r="23" spans="2:11" x14ac:dyDescent="0.25">
      <c r="B23" s="19" t="s">
        <v>57</v>
      </c>
      <c r="C23" s="19"/>
      <c r="D23" s="19"/>
      <c r="E23" s="19"/>
      <c r="F23" s="19"/>
      <c r="G23" s="19"/>
      <c r="H23" s="20">
        <f>+H24+H25</f>
        <v>471.65499999999997</v>
      </c>
      <c r="I23" s="25">
        <f>+I24+I25</f>
        <v>487.36500000000001</v>
      </c>
      <c r="J23" s="35">
        <f t="shared" si="0"/>
        <v>-3.2234567521262414E-2</v>
      </c>
    </row>
    <row r="24" spans="2:11" s="21" customFormat="1" x14ac:dyDescent="0.25">
      <c r="B24" s="21" t="s">
        <v>58</v>
      </c>
      <c r="H24" s="22">
        <f>+'[7]660201'!$C$25/1000</f>
        <v>327.22899999999998</v>
      </c>
      <c r="I24" s="23">
        <f>+'[8]660201'!$C$25/1000</f>
        <v>341.82400000000001</v>
      </c>
      <c r="J24" s="35">
        <f t="shared" si="0"/>
        <v>-4.269741153342077E-2</v>
      </c>
    </row>
    <row r="25" spans="2:11" s="21" customFormat="1" x14ac:dyDescent="0.25">
      <c r="B25" s="21" t="s">
        <v>59</v>
      </c>
      <c r="H25" s="22">
        <f>+'[7]660201'!$C$26/1000</f>
        <v>144.42599999999999</v>
      </c>
      <c r="I25" s="23">
        <f>+'[8]660201'!$C$26/1000</f>
        <v>145.541</v>
      </c>
      <c r="J25" s="35">
        <f t="shared" si="0"/>
        <v>-7.6610714506565314E-3</v>
      </c>
    </row>
    <row r="26" spans="2:11" x14ac:dyDescent="0.25">
      <c r="B26" s="1" t="s">
        <v>60</v>
      </c>
      <c r="H26" s="20">
        <f>+'[7]660201'!$C$27/1000</f>
        <v>38.253999999999998</v>
      </c>
      <c r="I26" s="25">
        <f>+'[8]660201'!$C$27/1000</f>
        <v>39.225000000000001</v>
      </c>
      <c r="J26" s="35">
        <f t="shared" si="0"/>
        <v>-2.4754620777565406E-2</v>
      </c>
    </row>
    <row r="27" spans="2:11" ht="17.25" x14ac:dyDescent="0.3">
      <c r="B27" s="6" t="s">
        <v>61</v>
      </c>
      <c r="C27" s="6"/>
      <c r="D27" s="6"/>
      <c r="E27" s="6"/>
      <c r="F27" s="6"/>
      <c r="G27" s="6"/>
      <c r="H27" s="18">
        <f>+H22-H23-H26</f>
        <v>548.5379999999999</v>
      </c>
      <c r="I27" s="27">
        <f>+I22-I23-I26</f>
        <v>359.851</v>
      </c>
      <c r="J27" s="39">
        <f t="shared" si="0"/>
        <v>0.5243475771916708</v>
      </c>
    </row>
    <row r="28" spans="2:11" x14ac:dyDescent="0.25">
      <c r="B28" s="1" t="s">
        <v>62</v>
      </c>
      <c r="H28" s="20">
        <f>+'[7]660201'!$C$28/1000</f>
        <v>75.668000000000006</v>
      </c>
      <c r="I28" s="25">
        <f>+'[8]660201'!$C$28/1000</f>
        <v>27.151</v>
      </c>
      <c r="J28" s="35">
        <f t="shared" si="0"/>
        <v>1.7869323413502269</v>
      </c>
    </row>
    <row r="29" spans="2:11" x14ac:dyDescent="0.25">
      <c r="B29" s="1" t="s">
        <v>63</v>
      </c>
      <c r="H29" s="20">
        <f>+H30+H31</f>
        <v>181.625</v>
      </c>
      <c r="I29" s="25">
        <f>+I30+I31</f>
        <v>108.66499999999999</v>
      </c>
      <c r="J29" s="35">
        <f t="shared" si="0"/>
        <v>0.67142134081811089</v>
      </c>
    </row>
    <row r="30" spans="2:11" s="21" customFormat="1" x14ac:dyDescent="0.25">
      <c r="B30" s="21" t="s">
        <v>64</v>
      </c>
      <c r="H30" s="22">
        <f>+'[7]660201'!$C$32/1000</f>
        <v>124.928</v>
      </c>
      <c r="I30" s="23">
        <f>+'[8]660201'!$C$32/1000</f>
        <v>70.873999999999995</v>
      </c>
      <c r="J30" s="35">
        <f t="shared" si="0"/>
        <v>0.7626774275474788</v>
      </c>
    </row>
    <row r="31" spans="2:11" s="21" customFormat="1" x14ac:dyDescent="0.25">
      <c r="B31" s="21" t="s">
        <v>65</v>
      </c>
      <c r="H31" s="22">
        <f>+('[7]660201'!$C$30+'[7]660201'!$C$31+'[7]660201'!$C$33)/1000</f>
        <v>56.697000000000003</v>
      </c>
      <c r="I31" s="23">
        <f>+('[8]660201'!$C$30+'[8]660201'!$C$31+'[8]660201'!$C$33)/1000</f>
        <v>37.790999999999997</v>
      </c>
      <c r="J31" s="29" t="s">
        <v>150</v>
      </c>
    </row>
    <row r="32" spans="2:11" x14ac:dyDescent="0.25">
      <c r="B32" s="5" t="s">
        <v>66</v>
      </c>
      <c r="C32" s="5"/>
      <c r="D32" s="5"/>
      <c r="E32" s="5"/>
      <c r="F32" s="5"/>
      <c r="G32" s="5"/>
      <c r="H32" s="17">
        <f>+H27-H28-H29</f>
        <v>291.24499999999989</v>
      </c>
      <c r="I32" s="37">
        <f>+I27-I28-I29</f>
        <v>224.035</v>
      </c>
      <c r="J32" s="76">
        <f t="shared" si="0"/>
        <v>0.29999776820586033</v>
      </c>
    </row>
    <row r="33" spans="2:10" x14ac:dyDescent="0.25">
      <c r="B33" s="1" t="s">
        <v>67</v>
      </c>
      <c r="H33" s="20">
        <f>+'[7]660201'!$C$34/1000</f>
        <v>3.056</v>
      </c>
      <c r="I33" s="25">
        <f>+'[8]660201'!$C$34/1000</f>
        <v>2.6429999999999998</v>
      </c>
      <c r="J33" s="35">
        <f t="shared" si="0"/>
        <v>0.15626182368520625</v>
      </c>
    </row>
    <row r="34" spans="2:10" x14ac:dyDescent="0.25">
      <c r="B34" s="1" t="s">
        <v>68</v>
      </c>
      <c r="H34" s="20">
        <f>+'[7]660201'!$C$35/1000</f>
        <v>26.834</v>
      </c>
      <c r="I34" s="25">
        <f>+'[8]660201'!$C$35/1000</f>
        <v>9.0609999999999999</v>
      </c>
      <c r="J34" s="29" t="s">
        <v>150</v>
      </c>
    </row>
    <row r="35" spans="2:10" x14ac:dyDescent="0.25">
      <c r="B35" s="1" t="s">
        <v>69</v>
      </c>
      <c r="H35" s="20">
        <f>+'[7]660201'!$C$39/1000</f>
        <v>28.997</v>
      </c>
      <c r="I35" s="25">
        <f>+'[8]660201'!$C$39/1000</f>
        <v>10.553000000000001</v>
      </c>
      <c r="J35" s="35">
        <f t="shared" si="0"/>
        <v>1.7477494551312422</v>
      </c>
    </row>
    <row r="36" spans="2:10" x14ac:dyDescent="0.25">
      <c r="B36" s="1" t="s">
        <v>70</v>
      </c>
      <c r="H36" s="20">
        <f>+'[7]660201'!$C$42/1000</f>
        <v>-71.736999999999995</v>
      </c>
      <c r="I36" s="25">
        <f>+'[8]660201'!$C$42/1000</f>
        <v>-19.725000000000001</v>
      </c>
      <c r="J36" s="29" t="s">
        <v>150</v>
      </c>
    </row>
    <row r="37" spans="2:10" ht="17.25" x14ac:dyDescent="0.3">
      <c r="B37" s="6" t="s">
        <v>71</v>
      </c>
      <c r="C37" s="6"/>
      <c r="D37" s="6"/>
      <c r="E37" s="6"/>
      <c r="F37" s="6"/>
      <c r="G37" s="6"/>
      <c r="H37" s="18">
        <f>+H32-H33-H34+H35+H36</f>
        <v>218.61499999999992</v>
      </c>
      <c r="I37" s="27">
        <f>+I32-I33-I34+I35+I36</f>
        <v>203.15899999999999</v>
      </c>
      <c r="J37" s="39">
        <f t="shared" si="0"/>
        <v>7.6078342578964842E-2</v>
      </c>
    </row>
    <row r="38" spans="2:10" x14ac:dyDescent="0.25">
      <c r="B38" s="1" t="s">
        <v>72</v>
      </c>
      <c r="H38" s="20">
        <f>+'[7]660201'!$C$44/1000</f>
        <v>-13.021000000000001</v>
      </c>
      <c r="I38" s="25">
        <f>+'[8]660201'!$C$44/1000</f>
        <v>12.449</v>
      </c>
      <c r="J38" s="29" t="s">
        <v>150</v>
      </c>
    </row>
    <row r="39" spans="2:10" x14ac:dyDescent="0.25">
      <c r="B39" s="5" t="s">
        <v>73</v>
      </c>
      <c r="C39" s="5"/>
      <c r="D39" s="5"/>
      <c r="E39" s="5"/>
      <c r="F39" s="5"/>
      <c r="G39" s="5"/>
      <c r="H39" s="17">
        <f>+'[7]660201'!$C$47/1000</f>
        <v>231.636</v>
      </c>
      <c r="I39" s="37">
        <f>+'[8]660201'!$C$47/1000</f>
        <v>190.71</v>
      </c>
      <c r="J39" s="35">
        <f t="shared" si="0"/>
        <v>0.2145980808557495</v>
      </c>
    </row>
    <row r="40" spans="2:10" x14ac:dyDescent="0.25">
      <c r="B40" s="1" t="s">
        <v>74</v>
      </c>
      <c r="H40" s="10">
        <f>+'[7]660201'!$C$48/1000</f>
        <v>0.79200000000000004</v>
      </c>
      <c r="I40" s="11">
        <f>+'[8]660201'!$C$48/1000</f>
        <v>0.40300000000000002</v>
      </c>
      <c r="J40" s="35">
        <f t="shared" si="0"/>
        <v>0.96526054590570709</v>
      </c>
    </row>
    <row r="41" spans="2:10" s="24" customFormat="1" ht="17.25" x14ac:dyDescent="0.3">
      <c r="B41" s="6" t="s">
        <v>75</v>
      </c>
      <c r="C41" s="6"/>
      <c r="D41" s="6"/>
      <c r="E41" s="6"/>
      <c r="F41" s="6"/>
      <c r="G41" s="6"/>
      <c r="H41" s="18">
        <f>+'[7]660201'!$C$49/1000</f>
        <v>230.84399999999999</v>
      </c>
      <c r="I41" s="27">
        <f>+'[8]660201'!$C$49/1000</f>
        <v>190.30699999999999</v>
      </c>
      <c r="J41" s="39">
        <f>IF(ISERROR($H41/I41),"-",$H41/I41-1)</f>
        <v>0.21300845475994046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76</v>
      </c>
    </row>
    <row r="10" spans="2:11" x14ac:dyDescent="0.25">
      <c r="B10" s="74" t="s">
        <v>13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">
        <v>9</v>
      </c>
      <c r="G14" s="9" t="s">
        <v>16</v>
      </c>
      <c r="H14" s="9" t="s">
        <v>15</v>
      </c>
      <c r="I14" s="9" t="s">
        <v>31</v>
      </c>
      <c r="J14" s="9" t="s">
        <v>15</v>
      </c>
    </row>
    <row r="15" spans="2:11" s="19" customFormat="1" x14ac:dyDescent="0.25">
      <c r="B15" s="19" t="s">
        <v>77</v>
      </c>
      <c r="F15" s="20">
        <f>+'[7]6611'!$C$6/1000</f>
        <v>3167.45</v>
      </c>
      <c r="G15" s="25">
        <f>+'[8]6611'!$C$6/1000</f>
        <v>676.322</v>
      </c>
      <c r="H15" s="35">
        <f>IF(ISERROR($F15/G15),"-",$F15/G15-1)</f>
        <v>3.6833460984560604</v>
      </c>
      <c r="I15" s="25">
        <f>+'[9]6611'!$C$6/1000</f>
        <v>1982.3109999999999</v>
      </c>
      <c r="J15" s="35">
        <f>IF(ISERROR($F15/I15),"-",$F15/I15-1)</f>
        <v>0.59785724843377253</v>
      </c>
      <c r="K15" s="25"/>
    </row>
    <row r="16" spans="2:11" s="19" customFormat="1" x14ac:dyDescent="0.25">
      <c r="B16" s="19" t="s">
        <v>78</v>
      </c>
      <c r="F16" s="20">
        <f>+F17+F18+F19</f>
        <v>91.137</v>
      </c>
      <c r="G16" s="25">
        <f>+G17+G18+G19</f>
        <v>150.976</v>
      </c>
      <c r="H16" s="35">
        <f t="shared" ref="H16:H57" si="0">IF(ISERROR($F16/G16),"-",$F16/G16-1)</f>
        <v>-0.3963477638830013</v>
      </c>
      <c r="I16" s="25">
        <f>+I17+I18+I19</f>
        <v>99.32</v>
      </c>
      <c r="J16" s="35">
        <f t="shared" ref="J16:J57" si="1">IF(ISERROR($F16/I16),"-",$F16/I16-1)</f>
        <v>-8.2390253725332152E-2</v>
      </c>
      <c r="K16" s="25"/>
    </row>
    <row r="17" spans="2:11" s="21" customFormat="1" x14ac:dyDescent="0.25">
      <c r="B17" s="21" t="s">
        <v>79</v>
      </c>
      <c r="F17" s="22">
        <f>+'[7]6611'!$C$8/1000</f>
        <v>90.141999999999996</v>
      </c>
      <c r="G17" s="23">
        <f>+'[8]6611'!$C$8/1000</f>
        <v>150.976</v>
      </c>
      <c r="H17" s="41">
        <f t="shared" si="0"/>
        <v>-0.40293821534548535</v>
      </c>
      <c r="I17" s="23">
        <f>+'[9]6611'!$C$8/1000</f>
        <v>96.846999999999994</v>
      </c>
      <c r="J17" s="41">
        <f t="shared" si="1"/>
        <v>-6.9232913771206106E-2</v>
      </c>
      <c r="K17" s="23"/>
    </row>
    <row r="18" spans="2:11" s="21" customFormat="1" x14ac:dyDescent="0.25">
      <c r="B18" s="21" t="s">
        <v>80</v>
      </c>
      <c r="F18" s="22">
        <f>+'[7]6611'!$C$9/1000</f>
        <v>0</v>
      </c>
      <c r="G18" s="23">
        <f>+'[8]6611'!$C$9/1000</f>
        <v>0</v>
      </c>
      <c r="H18" s="41" t="str">
        <f t="shared" si="0"/>
        <v>-</v>
      </c>
      <c r="I18" s="23">
        <f>+'[9]6611'!$C$9/1000</f>
        <v>0</v>
      </c>
      <c r="J18" s="41" t="str">
        <f t="shared" si="1"/>
        <v>-</v>
      </c>
      <c r="K18" s="23"/>
    </row>
    <row r="19" spans="2:11" s="21" customFormat="1" x14ac:dyDescent="0.25">
      <c r="B19" s="21" t="s">
        <v>81</v>
      </c>
      <c r="F19" s="22">
        <f>+'[7]6611'!$C$10/1000</f>
        <v>0.995</v>
      </c>
      <c r="G19" s="23">
        <f>+'[8]6611'!$C$10/1000</f>
        <v>0</v>
      </c>
      <c r="H19" s="41" t="str">
        <f t="shared" si="0"/>
        <v>-</v>
      </c>
      <c r="I19" s="23">
        <f>+'[9]6611'!$C$10/1000</f>
        <v>2.4729999999999999</v>
      </c>
      <c r="J19" s="41">
        <f t="shared" si="1"/>
        <v>-0.59765467044076015</v>
      </c>
      <c r="K19" s="23"/>
    </row>
    <row r="20" spans="2:11" s="19" customFormat="1" x14ac:dyDescent="0.25">
      <c r="B20" s="19" t="s">
        <v>82</v>
      </c>
      <c r="F20" s="20">
        <f>+F21+F22</f>
        <v>34.468000000000004</v>
      </c>
      <c r="G20" s="25">
        <f>+G21+G22</f>
        <v>36.650999999999996</v>
      </c>
      <c r="H20" s="35">
        <f t="shared" si="0"/>
        <v>-5.9561812774548972E-2</v>
      </c>
      <c r="I20" s="25">
        <f>+I21+I22</f>
        <v>35.118000000000002</v>
      </c>
      <c r="J20" s="35">
        <f t="shared" si="1"/>
        <v>-1.850902670994925E-2</v>
      </c>
      <c r="K20" s="25"/>
    </row>
    <row r="21" spans="2:11" s="19" customFormat="1" x14ac:dyDescent="0.25">
      <c r="B21" s="21" t="s">
        <v>80</v>
      </c>
      <c r="C21" s="21"/>
      <c r="D21" s="21"/>
      <c r="E21" s="21"/>
      <c r="F21" s="22">
        <f>+'[7]6611'!$C$17/1000</f>
        <v>6.0460000000000003</v>
      </c>
      <c r="G21" s="23">
        <f>+'[8]6611'!$C$17/1000</f>
        <v>6.1289999999999996</v>
      </c>
      <c r="H21" s="41">
        <f t="shared" si="0"/>
        <v>-1.3542176537771122E-2</v>
      </c>
      <c r="I21" s="23">
        <f>+'[9]6611'!$C$17/1000</f>
        <v>6.1740000000000004</v>
      </c>
      <c r="J21" s="41">
        <f t="shared" si="1"/>
        <v>-2.0732102364755423E-2</v>
      </c>
      <c r="K21" s="23"/>
    </row>
    <row r="22" spans="2:11" s="19" customFormat="1" x14ac:dyDescent="0.25">
      <c r="B22" s="21" t="s">
        <v>81</v>
      </c>
      <c r="C22" s="21"/>
      <c r="D22" s="21"/>
      <c r="E22" s="21"/>
      <c r="F22" s="22">
        <f>+'[7]6611'!$C$18/1000</f>
        <v>28.422000000000001</v>
      </c>
      <c r="G22" s="23">
        <f>+'[8]6611'!$C$18/1000</f>
        <v>30.521999999999998</v>
      </c>
      <c r="H22" s="41">
        <f t="shared" si="0"/>
        <v>-6.8802830745036347E-2</v>
      </c>
      <c r="I22" s="23">
        <f>+'[9]6611'!$C$18/1000</f>
        <v>28.943999999999999</v>
      </c>
      <c r="J22" s="41">
        <f t="shared" si="1"/>
        <v>-1.8034825870646753E-2</v>
      </c>
      <c r="K22" s="23"/>
    </row>
    <row r="23" spans="2:11" s="19" customFormat="1" x14ac:dyDescent="0.25">
      <c r="B23" s="19" t="s">
        <v>83</v>
      </c>
      <c r="F23" s="20">
        <f>+F24+F25</f>
        <v>4909.0249999999996</v>
      </c>
      <c r="G23" s="25">
        <f>+G24+G25</f>
        <v>6188.6200000000008</v>
      </c>
      <c r="H23" s="35">
        <f t="shared" si="0"/>
        <v>-0.20676580562387104</v>
      </c>
      <c r="I23" s="25">
        <f>+I24+I25</f>
        <v>4948.3550000000005</v>
      </c>
      <c r="J23" s="35">
        <f t="shared" si="1"/>
        <v>-7.9480958823691106E-3</v>
      </c>
      <c r="K23" s="25"/>
    </row>
    <row r="24" spans="2:11" s="21" customFormat="1" x14ac:dyDescent="0.25">
      <c r="B24" s="21" t="s">
        <v>80</v>
      </c>
      <c r="F24" s="22">
        <f>+'[7]6611'!$C$25/1000</f>
        <v>1439.3710000000001</v>
      </c>
      <c r="G24" s="23">
        <f>+'[8]6611'!$C$25/1000</f>
        <v>2246.0500000000002</v>
      </c>
      <c r="H24" s="35">
        <f t="shared" si="0"/>
        <v>-0.3591545157053494</v>
      </c>
      <c r="I24" s="23">
        <f>+'[9]6611'!$C$25/1000</f>
        <v>1496.5350000000001</v>
      </c>
      <c r="J24" s="35">
        <f t="shared" si="1"/>
        <v>-3.8197569719385149E-2</v>
      </c>
      <c r="K24" s="23"/>
    </row>
    <row r="25" spans="2:11" s="21" customFormat="1" x14ac:dyDescent="0.25">
      <c r="B25" s="21" t="s">
        <v>81</v>
      </c>
      <c r="F25" s="22">
        <f>+'[7]6611'!$C$26/1000</f>
        <v>3469.654</v>
      </c>
      <c r="G25" s="23">
        <f>+'[8]6611'!$C$26/1000</f>
        <v>3942.57</v>
      </c>
      <c r="H25" s="35">
        <f t="shared" si="0"/>
        <v>-0.11995119934458998</v>
      </c>
      <c r="I25" s="23">
        <f>+'[9]6611'!$C$26/1000</f>
        <v>3451.82</v>
      </c>
      <c r="J25" s="35">
        <f t="shared" si="1"/>
        <v>5.1665498200947901E-3</v>
      </c>
      <c r="K25" s="23"/>
    </row>
    <row r="26" spans="2:11" s="19" customFormat="1" x14ac:dyDescent="0.25">
      <c r="B26" s="19" t="s">
        <v>84</v>
      </c>
      <c r="F26" s="20">
        <f>+F27+F28+F29</f>
        <v>43514.396000000001</v>
      </c>
      <c r="G26" s="25">
        <f>+G27+G28+G29</f>
        <v>43998.483999999997</v>
      </c>
      <c r="H26" s="35">
        <f t="shared" si="0"/>
        <v>-1.1002379081970104E-2</v>
      </c>
      <c r="I26" s="25">
        <f>+I27+I28+I29</f>
        <v>44792.639999999999</v>
      </c>
      <c r="J26" s="35">
        <f t="shared" si="1"/>
        <v>-2.8536920351200479E-2</v>
      </c>
      <c r="K26" s="25"/>
    </row>
    <row r="27" spans="2:11" s="19" customFormat="1" x14ac:dyDescent="0.25">
      <c r="B27" s="21" t="s">
        <v>85</v>
      </c>
      <c r="C27" s="21"/>
      <c r="D27" s="21"/>
      <c r="E27" s="21"/>
      <c r="F27" s="22">
        <f>+'[7]6611'!$C$31/1000</f>
        <v>0</v>
      </c>
      <c r="G27" s="23">
        <f>+'[8]6611'!$C$31/1000</f>
        <v>0</v>
      </c>
      <c r="H27" s="35" t="str">
        <f t="shared" si="0"/>
        <v>-</v>
      </c>
      <c r="I27" s="23">
        <f>+'[9]6611'!$C$31/1000</f>
        <v>0</v>
      </c>
      <c r="J27" s="41" t="str">
        <f t="shared" si="1"/>
        <v>-</v>
      </c>
      <c r="K27" s="23"/>
    </row>
    <row r="28" spans="2:11" s="19" customFormat="1" x14ac:dyDescent="0.25">
      <c r="B28" s="21" t="s">
        <v>86</v>
      </c>
      <c r="C28" s="21"/>
      <c r="D28" s="21"/>
      <c r="E28" s="21"/>
      <c r="F28" s="22">
        <f>+'[7]6611'!$C$32/1000</f>
        <v>729.98099999999999</v>
      </c>
      <c r="G28" s="23">
        <f>+'[8]6611'!$C$32/1000</f>
        <v>1233.924</v>
      </c>
      <c r="H28" s="41">
        <f t="shared" si="0"/>
        <v>-0.40840683867077709</v>
      </c>
      <c r="I28" s="23">
        <f>+'[9]6611'!$C$32/1000</f>
        <v>753.53099999999995</v>
      </c>
      <c r="J28" s="41">
        <f t="shared" si="1"/>
        <v>-3.1252861527926501E-2</v>
      </c>
      <c r="K28" s="23"/>
    </row>
    <row r="29" spans="2:11" s="19" customFormat="1" x14ac:dyDescent="0.25">
      <c r="B29" s="21" t="s">
        <v>21</v>
      </c>
      <c r="C29" s="21"/>
      <c r="D29" s="21"/>
      <c r="E29" s="21"/>
      <c r="F29" s="22">
        <f>+'[7]6611'!$C$33/1000</f>
        <v>42784.415000000001</v>
      </c>
      <c r="G29" s="23">
        <f>+'[8]6611'!$C$33/1000</f>
        <v>42764.56</v>
      </c>
      <c r="H29" s="41">
        <f t="shared" si="0"/>
        <v>4.6428631558481648E-4</v>
      </c>
      <c r="I29" s="23">
        <f>+'[9]6611'!$C$33/1000</f>
        <v>44039.108999999997</v>
      </c>
      <c r="J29" s="41">
        <f t="shared" si="1"/>
        <v>-2.8490449250460403E-2</v>
      </c>
      <c r="K29" s="25"/>
    </row>
    <row r="30" spans="2:11" s="19" customFormat="1" x14ac:dyDescent="0.25">
      <c r="B30" s="19" t="s">
        <v>87</v>
      </c>
      <c r="F30" s="20">
        <f>+'[7]6611'!$C$35/1000</f>
        <v>45.771000000000001</v>
      </c>
      <c r="G30" s="25">
        <f>+'[8]6611'!$C$35/1000</f>
        <v>45.67</v>
      </c>
      <c r="H30" s="35">
        <f t="shared" si="0"/>
        <v>2.2115174074885946E-3</v>
      </c>
      <c r="I30" s="25">
        <f>+'[9]6611'!$C$35/1000</f>
        <v>45.250999999999998</v>
      </c>
      <c r="J30" s="35">
        <f t="shared" si="1"/>
        <v>1.1491458752292738E-2</v>
      </c>
      <c r="K30" s="25"/>
    </row>
    <row r="31" spans="2:11" s="19" customFormat="1" x14ac:dyDescent="0.25">
      <c r="B31" s="19" t="s">
        <v>88</v>
      </c>
      <c r="F31" s="20">
        <f>+'[7]6611'!$C$61/1000</f>
        <v>901.12800000000004</v>
      </c>
      <c r="G31" s="25">
        <f>+'[8]6611'!$C$61/1000</f>
        <v>859.87800000000004</v>
      </c>
      <c r="H31" s="35">
        <f t="shared" si="0"/>
        <v>4.7971921598180201E-2</v>
      </c>
      <c r="I31" s="25">
        <f>+'[9]6611'!$C$61/1000</f>
        <v>891.53899999999999</v>
      </c>
      <c r="J31" s="35">
        <f t="shared" si="1"/>
        <v>1.0755558646340813E-2</v>
      </c>
      <c r="K31" s="25"/>
    </row>
    <row r="32" spans="2:11" s="19" customFormat="1" x14ac:dyDescent="0.25">
      <c r="B32" s="19" t="s">
        <v>79</v>
      </c>
      <c r="F32" s="20">
        <f>+'[7]6611'!$C$37/1000</f>
        <v>195.56700000000001</v>
      </c>
      <c r="G32" s="25">
        <f>+'[8]6611'!$C$37/1000</f>
        <v>326.072</v>
      </c>
      <c r="H32" s="35">
        <f t="shared" si="0"/>
        <v>-0.40023369071861425</v>
      </c>
      <c r="I32" s="25">
        <f>+'[9]6611'!$C$37/1000</f>
        <v>208.66800000000001</v>
      </c>
      <c r="J32" s="35">
        <f t="shared" si="1"/>
        <v>-6.2783943872563142E-2</v>
      </c>
      <c r="K32" s="25"/>
    </row>
    <row r="33" spans="2:11" s="19" customFormat="1" x14ac:dyDescent="0.25">
      <c r="B33" s="19" t="s">
        <v>20</v>
      </c>
      <c r="F33" s="20">
        <f>+'[7]6611'!$C$39/1000</f>
        <v>514.88400000000001</v>
      </c>
      <c r="G33" s="25">
        <f>+'[8]6611'!$C$39/1000</f>
        <v>518.67899999999997</v>
      </c>
      <c r="H33" s="35">
        <f t="shared" si="0"/>
        <v>-7.3166640639007463E-3</v>
      </c>
      <c r="I33" s="25">
        <f>+'[9]6611'!$C$39/1000</f>
        <v>501.53300000000002</v>
      </c>
      <c r="J33" s="35">
        <f t="shared" si="1"/>
        <v>2.6620381909066904E-2</v>
      </c>
      <c r="K33" s="25"/>
    </row>
    <row r="34" spans="2:11" s="19" customFormat="1" x14ac:dyDescent="0.25">
      <c r="B34" s="19" t="s">
        <v>89</v>
      </c>
      <c r="F34" s="20">
        <f>+'[7]6611'!$C$42/1000</f>
        <v>51.753</v>
      </c>
      <c r="G34" s="25">
        <f>+'[8]6611'!$C$42/1000</f>
        <v>50.793999999999997</v>
      </c>
      <c r="H34" s="35">
        <f t="shared" si="0"/>
        <v>1.8880182698743919E-2</v>
      </c>
      <c r="I34" s="25">
        <f>+'[9]6611'!$C$42/1000</f>
        <v>52.674999999999997</v>
      </c>
      <c r="J34" s="35">
        <f t="shared" si="1"/>
        <v>-1.7503559563360138E-2</v>
      </c>
      <c r="K34" s="25"/>
    </row>
    <row r="35" spans="2:11" s="19" customFormat="1" x14ac:dyDescent="0.25">
      <c r="B35" s="19" t="s">
        <v>90</v>
      </c>
      <c r="F35" s="20">
        <f>+'[7]6611'!$C$43/1000</f>
        <v>1014.204</v>
      </c>
      <c r="G35" s="25">
        <f>+'[8]6611'!$C$43/1000</f>
        <v>1068.4069999999999</v>
      </c>
      <c r="H35" s="35">
        <f t="shared" si="0"/>
        <v>-5.0732539191525317E-2</v>
      </c>
      <c r="I35" s="25">
        <f>+'[9]6611'!$C$43/1000</f>
        <v>1025.885</v>
      </c>
      <c r="J35" s="35">
        <f t="shared" si="1"/>
        <v>-1.1386266491858255E-2</v>
      </c>
      <c r="K35" s="25"/>
    </row>
    <row r="36" spans="2:11" s="19" customFormat="1" x14ac:dyDescent="0.25">
      <c r="B36" s="19" t="s">
        <v>91</v>
      </c>
      <c r="F36" s="20">
        <f>+'[7]6611'!$C$51/1000</f>
        <v>357.60399999999998</v>
      </c>
      <c r="G36" s="25">
        <f>+'[8]6611'!$C$51/1000</f>
        <v>347.02600000000001</v>
      </c>
      <c r="H36" s="35">
        <f t="shared" si="0"/>
        <v>3.0481865912064254E-2</v>
      </c>
      <c r="I36" s="25">
        <f>+'[9]6611'!$C$51/1000</f>
        <v>355.1</v>
      </c>
      <c r="J36" s="35">
        <f t="shared" si="1"/>
        <v>7.0515347789354976E-3</v>
      </c>
      <c r="K36" s="25"/>
    </row>
    <row r="37" spans="2:11" s="19" customFormat="1" x14ac:dyDescent="0.25">
      <c r="B37" s="19" t="s">
        <v>92</v>
      </c>
      <c r="F37" s="20">
        <f>+'[7]6611'!$C$54/1000</f>
        <v>1942.923</v>
      </c>
      <c r="G37" s="25">
        <f>+'[8]6611'!$C$54/1000</f>
        <v>2009.1020000000001</v>
      </c>
      <c r="H37" s="35">
        <f t="shared" si="0"/>
        <v>-3.2939591917184985E-2</v>
      </c>
      <c r="I37" s="25">
        <f>+'[9]6611'!$C$54/1000</f>
        <v>1940.354</v>
      </c>
      <c r="J37" s="35">
        <f t="shared" si="1"/>
        <v>1.3239852109461214E-3</v>
      </c>
      <c r="K37" s="25"/>
    </row>
    <row r="38" spans="2:11" s="6" customFormat="1" ht="17.25" x14ac:dyDescent="0.3">
      <c r="B38" s="19" t="s">
        <v>93</v>
      </c>
      <c r="C38" s="19"/>
      <c r="D38" s="19"/>
      <c r="E38" s="19"/>
      <c r="F38" s="20">
        <f>+'[7]6611'!$C$57/1000</f>
        <v>349.11200000000002</v>
      </c>
      <c r="G38" s="25">
        <f>+'[8]6611'!$C$57/1000</f>
        <v>325.68099999999998</v>
      </c>
      <c r="H38" s="35">
        <f t="shared" si="0"/>
        <v>7.1944632938366171E-2</v>
      </c>
      <c r="I38" s="25">
        <f>+'[9]6611'!$C$57/1000</f>
        <v>391.26600000000002</v>
      </c>
      <c r="J38" s="35">
        <f t="shared" si="1"/>
        <v>-0.10773744715871048</v>
      </c>
      <c r="K38" s="40"/>
    </row>
    <row r="39" spans="2:11" s="19" customFormat="1" ht="17.25" x14ac:dyDescent="0.3">
      <c r="B39" s="6" t="s">
        <v>94</v>
      </c>
      <c r="C39" s="6"/>
      <c r="D39" s="6"/>
      <c r="E39" s="6"/>
      <c r="F39" s="18">
        <f>+F15+F16+F20+F23+F26+F30+F31+F32+F33+F34+F35+F36+F37+F38</f>
        <v>57089.421999999999</v>
      </c>
      <c r="G39" s="40">
        <f>+G15+G16+G20+G23+G26+G30+G31+G32+G33+G34+G35+G36+G37+G38</f>
        <v>56602.361999999986</v>
      </c>
      <c r="H39" s="39">
        <f t="shared" si="0"/>
        <v>8.6049412566919781E-3</v>
      </c>
      <c r="I39" s="40">
        <f>+I15+I16+I20+I23+I26+I30+I31+I32+I33+I34+I35+I36+I37+I38</f>
        <v>57270.014999999999</v>
      </c>
      <c r="J39" s="39">
        <f t="shared" si="1"/>
        <v>-3.1533604452521624E-3</v>
      </c>
      <c r="K39" s="25"/>
    </row>
    <row r="40" spans="2:11" s="19" customFormat="1" x14ac:dyDescent="0.25">
      <c r="B40" s="19" t="s">
        <v>95</v>
      </c>
      <c r="F40" s="20">
        <f>+'[7]6612'!$C$6/1000</f>
        <v>90.739000000000004</v>
      </c>
      <c r="G40" s="25">
        <f>+'[8]6612'!$C$6/1000</f>
        <v>149.625</v>
      </c>
      <c r="H40" s="35">
        <f t="shared" si="0"/>
        <v>-0.39355722639933166</v>
      </c>
      <c r="I40" s="25">
        <f>+'[9]6612'!$C$6/1000</f>
        <v>95.031999999999996</v>
      </c>
      <c r="J40" s="35">
        <f t="shared" si="1"/>
        <v>-4.5174257092347792E-2</v>
      </c>
      <c r="K40" s="25"/>
    </row>
    <row r="41" spans="2:11" s="21" customFormat="1" x14ac:dyDescent="0.25">
      <c r="B41" s="19" t="s">
        <v>96</v>
      </c>
      <c r="C41" s="19"/>
      <c r="D41" s="19"/>
      <c r="E41" s="19"/>
      <c r="F41" s="20">
        <f>+F42+F43+F44+F45+F46</f>
        <v>49706.177000000003</v>
      </c>
      <c r="G41" s="25">
        <f>+G42+G43+G44+G45+G46</f>
        <v>49127.637000000002</v>
      </c>
      <c r="H41" s="35">
        <f t="shared" si="0"/>
        <v>1.1776263531665609E-2</v>
      </c>
      <c r="I41" s="25">
        <f>+I42+I43+I44+I45+I46</f>
        <v>49899.075999999994</v>
      </c>
      <c r="J41" s="35">
        <f t="shared" si="1"/>
        <v>-3.8657830056810782E-3</v>
      </c>
      <c r="K41" s="23"/>
    </row>
    <row r="42" spans="2:11" s="21" customFormat="1" x14ac:dyDescent="0.25">
      <c r="B42" s="21" t="s">
        <v>97</v>
      </c>
      <c r="F42" s="22">
        <f>+'[7]6612'!$C$25/1000</f>
        <v>3984.259</v>
      </c>
      <c r="G42" s="23">
        <f>+'[8]6612'!$C$25/1000</f>
        <v>2620</v>
      </c>
      <c r="H42" s="35">
        <f t="shared" si="0"/>
        <v>0.52070954198473274</v>
      </c>
      <c r="I42" s="23">
        <f>+'[9]6612'!$C$25/1000</f>
        <v>4000.57</v>
      </c>
      <c r="J42" s="35">
        <f t="shared" si="1"/>
        <v>-4.077169003417036E-3</v>
      </c>
      <c r="K42" s="23"/>
    </row>
    <row r="43" spans="2:11" s="21" customFormat="1" x14ac:dyDescent="0.25">
      <c r="B43" s="21" t="s">
        <v>98</v>
      </c>
      <c r="F43" s="22">
        <f>+'[7]6612'!$C$26/1000</f>
        <v>630.47299999999996</v>
      </c>
      <c r="G43" s="23">
        <f>+'[8]6612'!$C$26/1000</f>
        <v>1047.1769999999999</v>
      </c>
      <c r="H43" s="35">
        <f t="shared" si="0"/>
        <v>-0.39793081780825967</v>
      </c>
      <c r="I43" s="23">
        <f>+'[9]6612'!$C$26/1000</f>
        <v>706.01099999999997</v>
      </c>
      <c r="J43" s="35">
        <f t="shared" si="1"/>
        <v>-0.10699266725305978</v>
      </c>
      <c r="K43" s="23"/>
    </row>
    <row r="44" spans="2:11" s="21" customFormat="1" x14ac:dyDescent="0.25">
      <c r="B44" s="21" t="s">
        <v>24</v>
      </c>
      <c r="F44" s="22">
        <f>+'[7]6612'!$C$27/1000</f>
        <v>41261.106</v>
      </c>
      <c r="G44" s="23">
        <f>+'[8]6612'!$C$27/1000</f>
        <v>40759.451999999997</v>
      </c>
      <c r="H44" s="35">
        <f t="shared" si="0"/>
        <v>1.2307672831322725E-2</v>
      </c>
      <c r="I44" s="23">
        <f>+'[9]6612'!$C$27/1000</f>
        <v>41362.440999999999</v>
      </c>
      <c r="J44" s="35">
        <f t="shared" si="1"/>
        <v>-2.4499279430824084E-3</v>
      </c>
      <c r="K44" s="23"/>
    </row>
    <row r="45" spans="2:11" s="21" customFormat="1" x14ac:dyDescent="0.25">
      <c r="B45" s="21" t="s">
        <v>99</v>
      </c>
      <c r="F45" s="22">
        <f>+'[7]6612'!$C$28/1000</f>
        <v>3142.4949999999999</v>
      </c>
      <c r="G45" s="23">
        <f>+'[8]6612'!$C$28/1000</f>
        <v>4058.91</v>
      </c>
      <c r="H45" s="35">
        <f t="shared" si="0"/>
        <v>-0.22577859573136627</v>
      </c>
      <c r="I45" s="23">
        <f>+'[9]6612'!$C$28/1000</f>
        <v>3150.2289999999998</v>
      </c>
      <c r="J45" s="35">
        <f t="shared" si="1"/>
        <v>-2.4550596163008809E-3</v>
      </c>
      <c r="K45" s="23"/>
    </row>
    <row r="46" spans="2:11" x14ac:dyDescent="0.25">
      <c r="B46" s="21" t="s">
        <v>100</v>
      </c>
      <c r="C46" s="21"/>
      <c r="D46" s="21"/>
      <c r="E46" s="21"/>
      <c r="F46" s="22">
        <f>+'[7]6612'!$C$29/1000</f>
        <v>687.84400000000005</v>
      </c>
      <c r="G46" s="23">
        <f>+'[8]6612'!$C$29/1000</f>
        <v>642.09799999999996</v>
      </c>
      <c r="H46" s="35">
        <f t="shared" si="0"/>
        <v>7.1244576373077129E-2</v>
      </c>
      <c r="I46" s="23">
        <f>+'[9]6612'!$C$29/1000</f>
        <v>679.82500000000005</v>
      </c>
      <c r="J46" s="35">
        <f t="shared" si="1"/>
        <v>1.1795682712462785E-2</v>
      </c>
      <c r="K46" s="11"/>
    </row>
    <row r="47" spans="2:11" x14ac:dyDescent="0.25">
      <c r="B47" s="19" t="s">
        <v>79</v>
      </c>
      <c r="F47" s="22">
        <f>+'[7]6612'!$C$31/1000</f>
        <v>153.07300000000001</v>
      </c>
      <c r="G47" s="11">
        <f>+'[8]6612'!$C$31/1000</f>
        <v>212.69499999999999</v>
      </c>
      <c r="H47" s="35">
        <f t="shared" si="0"/>
        <v>-0.28031688568137469</v>
      </c>
      <c r="I47" s="11">
        <f>+'[9]6612'!$C$31/1000</f>
        <v>146.214</v>
      </c>
      <c r="J47" s="35">
        <f t="shared" si="1"/>
        <v>4.6910692546541455E-2</v>
      </c>
      <c r="K47" s="11"/>
    </row>
    <row r="48" spans="2:11" x14ac:dyDescent="0.25">
      <c r="B48" s="19" t="s">
        <v>101</v>
      </c>
      <c r="F48" s="22">
        <f>+'[7]6612'!$C$33/1000</f>
        <v>630.30499999999995</v>
      </c>
      <c r="G48" s="11">
        <f>+'[8]6612'!$C$33/1000</f>
        <v>656.18200000000002</v>
      </c>
      <c r="H48" s="35">
        <f t="shared" si="0"/>
        <v>-3.9435705337848459E-2</v>
      </c>
      <c r="I48" s="11">
        <f>+'[9]6612'!$C$33/1000</f>
        <v>637.15700000000004</v>
      </c>
      <c r="J48" s="35">
        <f t="shared" si="1"/>
        <v>-1.0754021379346224E-2</v>
      </c>
      <c r="K48" s="11"/>
    </row>
    <row r="49" spans="2:11" x14ac:dyDescent="0.25">
      <c r="B49" s="1" t="s">
        <v>102</v>
      </c>
      <c r="F49" s="22">
        <f>+'[7]6612'!$C$34/1000</f>
        <v>516.56100000000004</v>
      </c>
      <c r="G49" s="11">
        <f>+'[8]6612'!$C$34/1000</f>
        <v>480.67899999999997</v>
      </c>
      <c r="H49" s="35">
        <f t="shared" si="0"/>
        <v>7.4648570043625906E-2</v>
      </c>
      <c r="I49" s="11">
        <f>+'[9]6612'!$C$34/1000</f>
        <v>541.91800000000001</v>
      </c>
      <c r="J49" s="35">
        <f t="shared" si="1"/>
        <v>-4.679121195457614E-2</v>
      </c>
      <c r="K49" s="11"/>
    </row>
    <row r="50" spans="2:11" x14ac:dyDescent="0.25">
      <c r="B50" s="19" t="s">
        <v>103</v>
      </c>
      <c r="F50" s="22">
        <f>+'[7]6612'!$C$40/1000</f>
        <v>259.18400000000003</v>
      </c>
      <c r="G50" s="11">
        <f>+'[8]6612'!$C$40/1000</f>
        <v>311.577</v>
      </c>
      <c r="H50" s="35">
        <f t="shared" si="0"/>
        <v>-0.16815426042358705</v>
      </c>
      <c r="I50" s="11">
        <f>+'[9]6612'!$C$40/1000</f>
        <v>272.15100000000001</v>
      </c>
      <c r="J50" s="35">
        <f t="shared" si="1"/>
        <v>-4.7646343390250201E-2</v>
      </c>
      <c r="K50" s="11"/>
    </row>
    <row r="51" spans="2:11" s="6" customFormat="1" ht="17.25" x14ac:dyDescent="0.3">
      <c r="B51" s="19" t="s">
        <v>104</v>
      </c>
      <c r="C51" s="1"/>
      <c r="D51" s="1"/>
      <c r="E51" s="1"/>
      <c r="F51" s="22">
        <f>+'[7]6612'!$C$44/1000</f>
        <v>207.84399999999999</v>
      </c>
      <c r="G51" s="11">
        <f>+'[8]6612'!$C$44/1000</f>
        <v>177.59200000000001</v>
      </c>
      <c r="H51" s="35">
        <f t="shared" si="0"/>
        <v>0.1703455110590566</v>
      </c>
      <c r="I51" s="11">
        <f>+'[9]6612'!$C$44/1000</f>
        <v>187.47200000000001</v>
      </c>
      <c r="J51" s="35">
        <f t="shared" si="1"/>
        <v>0.10866689425620879</v>
      </c>
      <c r="K51" s="40"/>
    </row>
    <row r="52" spans="2:11" ht="17.25" x14ac:dyDescent="0.3">
      <c r="B52" s="6" t="s">
        <v>105</v>
      </c>
      <c r="C52" s="6"/>
      <c r="D52" s="6"/>
      <c r="E52" s="6"/>
      <c r="F52" s="18">
        <f>+F40+F41+F47+F48+F49+F50+F51</f>
        <v>51563.883000000002</v>
      </c>
      <c r="G52" s="40">
        <f>+G40+G41+G47+G48+G49+G50+G51</f>
        <v>51115.986999999994</v>
      </c>
      <c r="H52" s="39">
        <f t="shared" si="0"/>
        <v>8.7623466998691946E-3</v>
      </c>
      <c r="I52" s="40">
        <f>+I40+I41+I47+I48+I49+I50+I51</f>
        <v>51779.01999999999</v>
      </c>
      <c r="J52" s="39">
        <f t="shared" si="1"/>
        <v>-4.1549067556703179E-3</v>
      </c>
      <c r="K52" s="25"/>
    </row>
    <row r="53" spans="2:11" x14ac:dyDescent="0.25">
      <c r="B53" s="19" t="s">
        <v>106</v>
      </c>
      <c r="C53" s="19"/>
      <c r="D53" s="19"/>
      <c r="E53" s="19"/>
      <c r="F53" s="20">
        <f>+'[7]661301'!$C$6/1000</f>
        <v>5079.3900000000003</v>
      </c>
      <c r="G53" s="25">
        <f>+'[8]661301'!$C$6/1000</f>
        <v>4916.7240000000002</v>
      </c>
      <c r="H53" s="35">
        <f t="shared" si="0"/>
        <v>3.3084224373790327E-2</v>
      </c>
      <c r="I53" s="25">
        <f>+'[9]661301'!$C$6/1000</f>
        <v>5018.741</v>
      </c>
      <c r="J53" s="35">
        <f t="shared" si="1"/>
        <v>1.2084504858888012E-2</v>
      </c>
      <c r="K53" s="25"/>
    </row>
    <row r="54" spans="2:11" x14ac:dyDescent="0.25">
      <c r="B54" s="19" t="s">
        <v>107</v>
      </c>
      <c r="C54" s="19"/>
      <c r="D54" s="19"/>
      <c r="E54" s="19"/>
      <c r="F54" s="20">
        <f>+'[7]661301'!$C$24/1000</f>
        <v>432.637</v>
      </c>
      <c r="G54" s="25">
        <f>+'[8]661301'!$C$24/1000</f>
        <v>558.697</v>
      </c>
      <c r="H54" s="35">
        <f t="shared" si="0"/>
        <v>-0.22563214049833813</v>
      </c>
      <c r="I54" s="25">
        <f>+'[9]661301'!$C$24/1000</f>
        <v>458.68400000000003</v>
      </c>
      <c r="J54" s="35">
        <f t="shared" si="1"/>
        <v>-5.6786371445265216E-2</v>
      </c>
      <c r="K54" s="25"/>
    </row>
    <row r="55" spans="2:11" s="6" customFormat="1" ht="17.25" x14ac:dyDescent="0.3">
      <c r="B55" s="19" t="s">
        <v>108</v>
      </c>
      <c r="C55" s="19"/>
      <c r="D55" s="19"/>
      <c r="E55" s="19"/>
      <c r="F55" s="20">
        <f>+'[7]661301'!$C$39/1000</f>
        <v>13.512</v>
      </c>
      <c r="G55" s="25">
        <f>+'[8]661301'!$C$39/1000</f>
        <v>10.954000000000001</v>
      </c>
      <c r="H55" s="35">
        <f t="shared" si="0"/>
        <v>0.23352200109549015</v>
      </c>
      <c r="I55" s="25">
        <f>+'[9]661301'!$C$39/1000</f>
        <v>13.57</v>
      </c>
      <c r="J55" s="35">
        <f t="shared" si="1"/>
        <v>-4.2741341193809346E-3</v>
      </c>
      <c r="K55" s="27"/>
    </row>
    <row r="56" spans="2:11" s="6" customFormat="1" ht="17.25" x14ac:dyDescent="0.3">
      <c r="B56" s="6" t="s">
        <v>109</v>
      </c>
      <c r="F56" s="18">
        <f>+SUM(F53:F55)</f>
        <v>5525.5389999999998</v>
      </c>
      <c r="G56" s="27">
        <f>+SUM(G53:G55)</f>
        <v>5486.375</v>
      </c>
      <c r="H56" s="39">
        <f t="shared" si="0"/>
        <v>7.1384110637715548E-3</v>
      </c>
      <c r="I56" s="27">
        <f>+SUM(I53:I55)</f>
        <v>5490.9949999999999</v>
      </c>
      <c r="J56" s="39">
        <f t="shared" si="1"/>
        <v>6.2910274003162847E-3</v>
      </c>
      <c r="K56" s="27"/>
    </row>
    <row r="57" spans="2:11" ht="17.25" x14ac:dyDescent="0.3">
      <c r="B57" s="6" t="s">
        <v>110</v>
      </c>
      <c r="C57" s="6"/>
      <c r="D57" s="6"/>
      <c r="E57" s="6"/>
      <c r="F57" s="18">
        <f>+F52+F56</f>
        <v>57089.421999999999</v>
      </c>
      <c r="G57" s="27">
        <f>+G52+G56</f>
        <v>56602.361999999994</v>
      </c>
      <c r="H57" s="39">
        <f t="shared" si="0"/>
        <v>8.604941256691756E-3</v>
      </c>
      <c r="I57" s="27">
        <f>+I52+I56</f>
        <v>57270.014999999992</v>
      </c>
      <c r="J57" s="39">
        <f t="shared" si="1"/>
        <v>-3.1533604452520514E-3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7 H20:H26 I56:I57 I52 I41 I39 I26 I23 I20 I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111</v>
      </c>
    </row>
    <row r="12" spans="2:9" ht="17.25" x14ac:dyDescent="0.3">
      <c r="B12" s="6" t="s">
        <v>12</v>
      </c>
      <c r="G12" s="4"/>
    </row>
    <row r="13" spans="2:9" x14ac:dyDescent="0.25">
      <c r="B13" s="74" t="s">
        <v>13</v>
      </c>
      <c r="G13" s="4"/>
    </row>
    <row r="14" spans="2:9" x14ac:dyDescent="0.25">
      <c r="B14" s="7"/>
      <c r="C14" s="7"/>
      <c r="D14" s="7"/>
      <c r="E14" s="7"/>
      <c r="F14" s="8" t="s">
        <v>9</v>
      </c>
      <c r="G14" s="9" t="s">
        <v>16</v>
      </c>
      <c r="H14" s="9" t="s">
        <v>15</v>
      </c>
    </row>
    <row r="15" spans="2:9" x14ac:dyDescent="0.25">
      <c r="B15" s="1" t="s">
        <v>24</v>
      </c>
      <c r="F15" s="10">
        <f>+Balantzea!F44</f>
        <v>41261.106</v>
      </c>
      <c r="G15" s="11">
        <f>+Balantzea!$G$44</f>
        <v>40759.451999999997</v>
      </c>
      <c r="H15" s="35">
        <f>IF(ISERROR($F15/G15),"-",$F15/G15-1)</f>
        <v>1.2307672831322725E-2</v>
      </c>
      <c r="I15" s="12"/>
    </row>
    <row r="16" spans="2:9" s="5" customFormat="1" x14ac:dyDescent="0.25">
      <c r="B16" s="5" t="s">
        <v>26</v>
      </c>
      <c r="F16" s="17">
        <f>+'KF-B'!E24</f>
        <v>39550.180702630001</v>
      </c>
      <c r="G16" s="37">
        <f>+'KF-B'!F24</f>
        <v>37434.253526619999</v>
      </c>
      <c r="H16" s="38">
        <f t="shared" ref="H16:H25" si="0">IF(ISERROR($F16/G16),"-",$F16/G16-1)</f>
        <v>5.6523824483513119E-2</v>
      </c>
    </row>
    <row r="17" spans="2:11" x14ac:dyDescent="0.25">
      <c r="B17" s="1" t="s">
        <v>112</v>
      </c>
      <c r="F17" s="10">
        <f>+[10]Funding!$T$14/1000</f>
        <v>2366.4609999999998</v>
      </c>
      <c r="G17" s="11">
        <f>+[10]Funding!$P$14/1000</f>
        <v>1889.1130000000001</v>
      </c>
      <c r="H17" s="35">
        <f t="shared" si="0"/>
        <v>0.25268366688493482</v>
      </c>
    </row>
    <row r="18" spans="2:11" x14ac:dyDescent="0.25">
      <c r="B18" s="1" t="s">
        <v>113</v>
      </c>
      <c r="F18" s="10">
        <f>+F16-F17</f>
        <v>37183.719702629998</v>
      </c>
      <c r="G18" s="11">
        <f>+G16-G17</f>
        <v>35545.140526620002</v>
      </c>
      <c r="H18" s="35">
        <f t="shared" si="0"/>
        <v>4.6098542634339879E-2</v>
      </c>
    </row>
    <row r="19" spans="2:11" s="21" customFormat="1" x14ac:dyDescent="0.25">
      <c r="B19" s="21" t="s">
        <v>114</v>
      </c>
      <c r="F19" s="22">
        <f>+[10]Funding!$T$18/1000</f>
        <v>25356.815999999999</v>
      </c>
      <c r="G19" s="23">
        <f>+[10]Funding!$P$18/1000</f>
        <v>22306.025000000001</v>
      </c>
      <c r="H19" s="41">
        <f t="shared" si="0"/>
        <v>0.13676981891663798</v>
      </c>
    </row>
    <row r="20" spans="2:11" s="21" customFormat="1" x14ac:dyDescent="0.25">
      <c r="B20" s="21" t="s">
        <v>115</v>
      </c>
      <c r="F20" s="22">
        <f>+[10]Funding!$T$19/1000</f>
        <v>10972.47914695</v>
      </c>
      <c r="G20" s="23">
        <f>+[10]Funding!$P$19/1000</f>
        <v>12886.562008450001</v>
      </c>
      <c r="H20" s="41">
        <f t="shared" si="0"/>
        <v>-0.14853324418451519</v>
      </c>
    </row>
    <row r="21" spans="2:11" s="21" customFormat="1" x14ac:dyDescent="0.25">
      <c r="B21" s="21" t="s">
        <v>116</v>
      </c>
      <c r="F21" s="22">
        <f>+[10]Funding!$T$20/1000+[10]Funding!$T$22/1000</f>
        <v>850.40599999999995</v>
      </c>
      <c r="G21" s="23">
        <f>+([10]Funding!$P$20+[10]Funding!$P$22)/1000</f>
        <v>286.79000000000002</v>
      </c>
      <c r="H21" s="41">
        <f t="shared" si="0"/>
        <v>1.9652568081174375</v>
      </c>
      <c r="K21" s="65"/>
    </row>
    <row r="22" spans="2:11" x14ac:dyDescent="0.25">
      <c r="B22" s="1" t="s">
        <v>117</v>
      </c>
      <c r="F22" s="10">
        <f>+[10]Funding!$T$53*1000</f>
        <v>27583.934000000001</v>
      </c>
      <c r="G22" s="11">
        <f>+[10]Funding!$P$53*1000</f>
        <v>23994.853999999999</v>
      </c>
      <c r="H22" s="35">
        <f t="shared" si="0"/>
        <v>0.14957707181714897</v>
      </c>
    </row>
    <row r="23" spans="2:11" x14ac:dyDescent="0.25">
      <c r="B23" s="1" t="s">
        <v>118</v>
      </c>
      <c r="F23" s="10">
        <f>+[10]Funding!$T$54*1000</f>
        <v>11962.228146949998</v>
      </c>
      <c r="G23" s="11">
        <f>+[10]Funding!$P$54*1000</f>
        <v>13373.636008450001</v>
      </c>
      <c r="H23" s="35">
        <f t="shared" si="0"/>
        <v>-0.10553658411281863</v>
      </c>
    </row>
    <row r="24" spans="2:11" x14ac:dyDescent="0.25">
      <c r="B24" s="1" t="s">
        <v>119</v>
      </c>
      <c r="F24" s="10">
        <f>+'KF-B'!E25</f>
        <v>18989.316522659996</v>
      </c>
      <c r="G24" s="11">
        <f>+'KF-B'!F25</f>
        <v>17817.915439289995</v>
      </c>
      <c r="H24" s="35">
        <f t="shared" si="0"/>
        <v>6.5742880381336022E-2</v>
      </c>
    </row>
    <row r="25" spans="2:11" s="5" customFormat="1" x14ac:dyDescent="0.25">
      <c r="B25" s="5" t="s">
        <v>120</v>
      </c>
      <c r="F25" s="17">
        <f>+F24+F16</f>
        <v>58539.497225289997</v>
      </c>
      <c r="G25" s="37">
        <f>+G24+G16</f>
        <v>55252.168965909994</v>
      </c>
      <c r="H25" s="38">
        <f t="shared" si="0"/>
        <v>5.9496818331389756E-2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14</v>
      </c>
      <c r="G33" s="4"/>
    </row>
    <row r="34" spans="2:8" x14ac:dyDescent="0.25">
      <c r="B34" s="74" t="s">
        <v>13</v>
      </c>
      <c r="G34" s="4"/>
    </row>
    <row r="35" spans="2:8" x14ac:dyDescent="0.25">
      <c r="B35" s="7"/>
      <c r="C35" s="7"/>
      <c r="D35" s="7"/>
      <c r="E35" s="7"/>
      <c r="F35" s="8" t="s">
        <v>9</v>
      </c>
      <c r="G35" s="9" t="s">
        <v>31</v>
      </c>
      <c r="H35" s="9" t="s">
        <v>15</v>
      </c>
    </row>
    <row r="36" spans="2:8" x14ac:dyDescent="0.25">
      <c r="B36" s="1" t="s">
        <v>24</v>
      </c>
      <c r="F36" s="10">
        <f>+F15</f>
        <v>41261.106</v>
      </c>
      <c r="G36" s="11">
        <f>+Balantzea!$I$44</f>
        <v>41362.440999999999</v>
      </c>
      <c r="H36" s="35">
        <f>IF(ISERROR($F36/G36),"-",$F36/G36-1)</f>
        <v>-2.4499279430824084E-3</v>
      </c>
    </row>
    <row r="37" spans="2:8" x14ac:dyDescent="0.25">
      <c r="B37" s="5" t="s">
        <v>26</v>
      </c>
      <c r="C37" s="5"/>
      <c r="D37" s="5"/>
      <c r="E37" s="5"/>
      <c r="F37" s="17">
        <f t="shared" ref="F37:F46" si="1">+F16</f>
        <v>39550.180702630001</v>
      </c>
      <c r="G37" s="37">
        <f>+'KF-B'!F46</f>
        <v>39642.199990629997</v>
      </c>
      <c r="H37" s="38">
        <f t="shared" ref="H37:H46" si="2">IF(ISERROR($F37/G37),"-",$F37/G37-1)</f>
        <v>-2.3212457437212786E-3</v>
      </c>
    </row>
    <row r="38" spans="2:8" x14ac:dyDescent="0.25">
      <c r="B38" s="1" t="s">
        <v>112</v>
      </c>
      <c r="F38" s="10">
        <f t="shared" si="1"/>
        <v>2366.4609999999998</v>
      </c>
      <c r="G38" s="11">
        <f>+[10]Funding!$S$14/1000</f>
        <v>2326.9769999999999</v>
      </c>
      <c r="H38" s="35">
        <f t="shared" si="2"/>
        <v>1.6967937371104247E-2</v>
      </c>
    </row>
    <row r="39" spans="2:8" x14ac:dyDescent="0.25">
      <c r="B39" s="1" t="s">
        <v>113</v>
      </c>
      <c r="F39" s="10">
        <f t="shared" si="1"/>
        <v>37183.719702629998</v>
      </c>
      <c r="G39" s="11">
        <f>+G37-G38</f>
        <v>37315.222990629998</v>
      </c>
      <c r="H39" s="35">
        <f t="shared" si="2"/>
        <v>-3.5241190447400372E-3</v>
      </c>
    </row>
    <row r="40" spans="2:8" x14ac:dyDescent="0.25">
      <c r="B40" s="21" t="s">
        <v>114</v>
      </c>
      <c r="C40" s="21"/>
      <c r="D40" s="21"/>
      <c r="E40" s="21"/>
      <c r="F40" s="22">
        <f t="shared" si="1"/>
        <v>25356.815999999999</v>
      </c>
      <c r="G40" s="23">
        <f>+[10]Funding!$S$18/1000</f>
        <v>25557.86</v>
      </c>
      <c r="H40" s="41">
        <f t="shared" si="2"/>
        <v>-7.8662298017126986E-3</v>
      </c>
    </row>
    <row r="41" spans="2:8" x14ac:dyDescent="0.25">
      <c r="B41" s="21" t="s">
        <v>115</v>
      </c>
      <c r="C41" s="21"/>
      <c r="D41" s="21"/>
      <c r="E41" s="21"/>
      <c r="F41" s="22">
        <f t="shared" si="1"/>
        <v>10972.47914695</v>
      </c>
      <c r="G41" s="23">
        <f>+[10]Funding!$S$19/1000</f>
        <v>11328.359146949999</v>
      </c>
      <c r="H41" s="41">
        <f t="shared" si="2"/>
        <v>-3.1414964460745876E-2</v>
      </c>
    </row>
    <row r="42" spans="2:8" x14ac:dyDescent="0.25">
      <c r="B42" s="21" t="s">
        <v>116</v>
      </c>
      <c r="C42" s="21"/>
      <c r="D42" s="21"/>
      <c r="E42" s="21"/>
      <c r="F42" s="22">
        <f t="shared" si="1"/>
        <v>850.40599999999995</v>
      </c>
      <c r="G42" s="23">
        <f>+([10]Funding!$S$20+[10]Funding!$S$22)/1000</f>
        <v>419.43799999999999</v>
      </c>
      <c r="H42" s="41">
        <f t="shared" si="2"/>
        <v>1.0274891640719246</v>
      </c>
    </row>
    <row r="43" spans="2:8" x14ac:dyDescent="0.25">
      <c r="B43" s="1" t="s">
        <v>117</v>
      </c>
      <c r="F43" s="10">
        <f t="shared" si="1"/>
        <v>27583.934000000001</v>
      </c>
      <c r="G43" s="11">
        <f>+[10]Funding!$S$53*1000</f>
        <v>27732.145</v>
      </c>
      <c r="H43" s="35">
        <f t="shared" si="2"/>
        <v>-5.3443756334030645E-3</v>
      </c>
    </row>
    <row r="44" spans="2:8" x14ac:dyDescent="0.25">
      <c r="B44" s="1" t="s">
        <v>118</v>
      </c>
      <c r="F44" s="10">
        <f t="shared" si="1"/>
        <v>11962.228146949998</v>
      </c>
      <c r="G44" s="11">
        <f>+[10]Funding!$S$54*1000</f>
        <v>11897.549146949999</v>
      </c>
      <c r="H44" s="35">
        <f t="shared" si="2"/>
        <v>5.4363297180897163E-3</v>
      </c>
    </row>
    <row r="45" spans="2:8" x14ac:dyDescent="0.25">
      <c r="B45" s="1" t="s">
        <v>119</v>
      </c>
      <c r="F45" s="10">
        <f t="shared" si="1"/>
        <v>18989.316522659996</v>
      </c>
      <c r="G45" s="11">
        <f>+'KF-B'!F47</f>
        <v>18917.485908609993</v>
      </c>
      <c r="H45" s="35">
        <f t="shared" si="2"/>
        <v>3.7970486351630583E-3</v>
      </c>
    </row>
    <row r="46" spans="2:8" x14ac:dyDescent="0.25">
      <c r="B46" s="5" t="s">
        <v>120</v>
      </c>
      <c r="C46" s="5"/>
      <c r="D46" s="5"/>
      <c r="E46" s="5"/>
      <c r="F46" s="17">
        <f t="shared" si="1"/>
        <v>58539.497225289997</v>
      </c>
      <c r="G46" s="37">
        <f>+G45+G37</f>
        <v>58559.685899239994</v>
      </c>
      <c r="H46" s="38">
        <f t="shared" si="2"/>
        <v>-3.4475379503806636E-4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121</v>
      </c>
    </row>
    <row r="12" spans="2:8" ht="17.25" x14ac:dyDescent="0.3">
      <c r="B12" s="6" t="s">
        <v>12</v>
      </c>
      <c r="G12" s="4"/>
    </row>
    <row r="13" spans="2:8" x14ac:dyDescent="0.25">
      <c r="B13" s="74" t="s">
        <v>13</v>
      </c>
      <c r="G13" s="4"/>
    </row>
    <row r="14" spans="2:8" x14ac:dyDescent="0.25">
      <c r="B14" s="7"/>
      <c r="C14" s="7"/>
      <c r="D14" s="7"/>
      <c r="E14" s="7"/>
      <c r="F14" s="8" t="s">
        <v>9</v>
      </c>
      <c r="G14" s="9" t="s">
        <v>16</v>
      </c>
      <c r="H14" s="9" t="s">
        <v>15</v>
      </c>
    </row>
    <row r="15" spans="2:8" x14ac:dyDescent="0.25">
      <c r="B15" s="5" t="s">
        <v>21</v>
      </c>
      <c r="C15" s="5"/>
      <c r="D15" s="5"/>
      <c r="E15" s="5"/>
      <c r="F15" s="17">
        <f>+Balantzea!F29</f>
        <v>42784.415000000001</v>
      </c>
      <c r="G15" s="37">
        <f>+Balantzea!G29</f>
        <v>42764.56</v>
      </c>
      <c r="H15" s="69">
        <f>+F15/G15-1</f>
        <v>4.6428631558481648E-4</v>
      </c>
    </row>
    <row r="16" spans="2:8" s="21" customFormat="1" x14ac:dyDescent="0.25">
      <c r="B16" s="21" t="s">
        <v>122</v>
      </c>
      <c r="F16" s="22">
        <f>+'[10]NPL+coverage'!$Z$6</f>
        <v>43891.487000000001</v>
      </c>
      <c r="G16" s="23">
        <f>+'[10]NPL+coverage'!$V$6</f>
        <v>44374.786</v>
      </c>
      <c r="H16" s="26">
        <f t="shared" ref="H16:H23" si="0">+F16/G16-1</f>
        <v>-1.0891297594088689E-2</v>
      </c>
    </row>
    <row r="17" spans="2:8" x14ac:dyDescent="0.25">
      <c r="B17" s="1" t="s">
        <v>112</v>
      </c>
      <c r="F17" s="10">
        <f>+[11]DRC!$B$46</f>
        <v>3055.6960000000045</v>
      </c>
      <c r="G17" s="11">
        <f>+[12]GKBSEP16!D46</f>
        <v>3066.9939999999979</v>
      </c>
      <c r="H17" s="26">
        <f t="shared" si="0"/>
        <v>-3.6837372358711207E-3</v>
      </c>
    </row>
    <row r="18" spans="2:8" x14ac:dyDescent="0.25">
      <c r="B18" s="1" t="s">
        <v>113</v>
      </c>
      <c r="F18" s="10">
        <f>+[11]DRC!$B$47</f>
        <v>40835.790999999997</v>
      </c>
      <c r="G18" s="11">
        <f>+[12]GKBSEP16!D47</f>
        <v>41307.792000000001</v>
      </c>
      <c r="H18" s="26">
        <f t="shared" si="0"/>
        <v>-1.1426439834886448E-2</v>
      </c>
    </row>
    <row r="19" spans="2:8" x14ac:dyDescent="0.25">
      <c r="B19" s="21" t="s">
        <v>123</v>
      </c>
      <c r="C19" s="21"/>
      <c r="D19" s="21"/>
      <c r="E19" s="21"/>
      <c r="F19" s="22">
        <f>+[11]DRC!$B$48</f>
        <v>33462.332000000002</v>
      </c>
      <c r="G19" s="23">
        <f>+[12]GKBSEP16!D48</f>
        <v>34938.612000000001</v>
      </c>
      <c r="H19" s="67">
        <f t="shared" si="0"/>
        <v>-4.2253538864108209E-2</v>
      </c>
    </row>
    <row r="20" spans="2:8" x14ac:dyDescent="0.25">
      <c r="B20" s="21" t="s">
        <v>124</v>
      </c>
      <c r="C20" s="21"/>
      <c r="D20" s="21"/>
      <c r="E20" s="21"/>
      <c r="F20" s="22">
        <f>+[11]DRC!$B$49</f>
        <v>7373.4589999999953</v>
      </c>
      <c r="G20" s="23">
        <f>+[12]GKBSEP16!D49</f>
        <v>6369.18</v>
      </c>
      <c r="H20" s="67">
        <f t="shared" si="0"/>
        <v>0.15767791144228838</v>
      </c>
    </row>
    <row r="21" spans="2:8" x14ac:dyDescent="0.25">
      <c r="B21" s="5" t="s">
        <v>125</v>
      </c>
      <c r="C21" s="5"/>
      <c r="D21" s="5"/>
      <c r="E21" s="5"/>
      <c r="F21" s="17">
        <f>+[11]DRC!$B$50</f>
        <v>31216.803</v>
      </c>
      <c r="G21" s="37">
        <f>+[12]GKBSEP16!D50</f>
        <v>31693.489000000001</v>
      </c>
      <c r="H21" s="69">
        <f t="shared" si="0"/>
        <v>-1.5040502483017915E-2</v>
      </c>
    </row>
    <row r="22" spans="2:8" x14ac:dyDescent="0.25">
      <c r="B22" s="21" t="s">
        <v>123</v>
      </c>
      <c r="C22" s="21"/>
      <c r="D22" s="21"/>
      <c r="E22" s="21"/>
      <c r="F22" s="22">
        <f>+[11]DRC!$B$51</f>
        <v>29439.685000000001</v>
      </c>
      <c r="G22" s="23">
        <f>+[12]GKBSEP16!D51</f>
        <v>30038.852999999999</v>
      </c>
      <c r="H22" s="67">
        <f t="shared" si="0"/>
        <v>-1.9946434039941452E-2</v>
      </c>
    </row>
    <row r="23" spans="2:8" x14ac:dyDescent="0.25">
      <c r="B23" s="21" t="s">
        <v>124</v>
      </c>
      <c r="C23" s="21"/>
      <c r="D23" s="21"/>
      <c r="E23" s="21"/>
      <c r="F23" s="22">
        <f>+[11]DRC!$B$52</f>
        <v>1777.1179999999986</v>
      </c>
      <c r="G23" s="23">
        <f>+[12]GKBSEP16!D52</f>
        <v>1654.6360000000022</v>
      </c>
      <c r="H23" s="67">
        <f t="shared" si="0"/>
        <v>7.4023531459484815E-2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14</v>
      </c>
      <c r="G30" s="4"/>
    </row>
    <row r="31" spans="2:8" x14ac:dyDescent="0.25">
      <c r="B31" s="74" t="s">
        <v>13</v>
      </c>
      <c r="G31" s="4"/>
    </row>
    <row r="32" spans="2:8" x14ac:dyDescent="0.25">
      <c r="B32" s="7"/>
      <c r="C32" s="7"/>
      <c r="D32" s="7"/>
      <c r="E32" s="7"/>
      <c r="F32" s="8" t="s">
        <v>9</v>
      </c>
      <c r="G32" s="9" t="s">
        <v>31</v>
      </c>
      <c r="H32" s="9" t="s">
        <v>15</v>
      </c>
    </row>
    <row r="33" spans="2:8" x14ac:dyDescent="0.25">
      <c r="B33" s="5" t="s">
        <v>21</v>
      </c>
      <c r="C33" s="5"/>
      <c r="D33" s="5"/>
      <c r="E33" s="5"/>
      <c r="F33" s="17">
        <f>+F15</f>
        <v>42784.415000000001</v>
      </c>
      <c r="G33" s="37">
        <f>+Balantzea!I29</f>
        <v>44039.108999999997</v>
      </c>
      <c r="H33" s="69">
        <f>+F33/G33-1</f>
        <v>-2.8490449250460403E-2</v>
      </c>
    </row>
    <row r="34" spans="2:8" x14ac:dyDescent="0.25">
      <c r="B34" s="21" t="s">
        <v>122</v>
      </c>
      <c r="C34" s="21"/>
      <c r="D34" s="21"/>
      <c r="E34" s="21"/>
      <c r="F34" s="22">
        <f t="shared" ref="F34:F41" si="1">+F16</f>
        <v>43891.487000000001</v>
      </c>
      <c r="G34" s="23">
        <f>+'[10]NPL+coverage'!$Y$6</f>
        <v>45281.445</v>
      </c>
      <c r="H34" s="26">
        <f t="shared" ref="H34:H41" si="2">+F34/G34-1</f>
        <v>-3.0695972710234831E-2</v>
      </c>
    </row>
    <row r="35" spans="2:8" x14ac:dyDescent="0.25">
      <c r="B35" s="1" t="s">
        <v>112</v>
      </c>
      <c r="F35" s="10">
        <f t="shared" si="1"/>
        <v>3055.6960000000045</v>
      </c>
      <c r="G35" s="11">
        <f>+[12]GKBJUN17!D46</f>
        <v>3654.0500000000011</v>
      </c>
      <c r="H35" s="26">
        <f>+F35/G35-1</f>
        <v>-0.16375090652837165</v>
      </c>
    </row>
    <row r="36" spans="2:8" x14ac:dyDescent="0.25">
      <c r="B36" s="1" t="s">
        <v>113</v>
      </c>
      <c r="F36" s="10">
        <f t="shared" si="1"/>
        <v>40835.790999999997</v>
      </c>
      <c r="G36" s="11">
        <f>+[12]GKBJUN17!D47</f>
        <v>41627.394999999997</v>
      </c>
      <c r="H36" s="26">
        <f t="shared" si="2"/>
        <v>-1.9016419355570968E-2</v>
      </c>
    </row>
    <row r="37" spans="2:8" x14ac:dyDescent="0.25">
      <c r="B37" s="21" t="s">
        <v>123</v>
      </c>
      <c r="C37" s="21"/>
      <c r="D37" s="21"/>
      <c r="E37" s="21"/>
      <c r="F37" s="22">
        <f t="shared" si="1"/>
        <v>33462.332000000002</v>
      </c>
      <c r="G37" s="23">
        <f>+[12]GKBJUN17!D48</f>
        <v>33747.239000000001</v>
      </c>
      <c r="H37" s="67">
        <f t="shared" si="2"/>
        <v>-8.4423795380712541E-3</v>
      </c>
    </row>
    <row r="38" spans="2:8" x14ac:dyDescent="0.25">
      <c r="B38" s="21" t="s">
        <v>124</v>
      </c>
      <c r="C38" s="21"/>
      <c r="D38" s="21"/>
      <c r="E38" s="21"/>
      <c r="F38" s="22">
        <f t="shared" si="1"/>
        <v>7373.4589999999953</v>
      </c>
      <c r="G38" s="23">
        <f>+[12]GKBJUN17!D49</f>
        <v>7880.1559999999954</v>
      </c>
      <c r="H38" s="67">
        <f t="shared" si="2"/>
        <v>-6.4300376794571124E-2</v>
      </c>
    </row>
    <row r="39" spans="2:8" x14ac:dyDescent="0.25">
      <c r="B39" s="5" t="s">
        <v>125</v>
      </c>
      <c r="C39" s="5"/>
      <c r="D39" s="5"/>
      <c r="E39" s="5"/>
      <c r="F39" s="17">
        <f t="shared" si="1"/>
        <v>31216.803</v>
      </c>
      <c r="G39" s="37">
        <f>+[12]GKBJUN17!D50</f>
        <v>31731.798999999999</v>
      </c>
      <c r="H39" s="69">
        <f t="shared" si="2"/>
        <v>-1.6229650263447026E-2</v>
      </c>
    </row>
    <row r="40" spans="2:8" x14ac:dyDescent="0.25">
      <c r="B40" s="21" t="s">
        <v>123</v>
      </c>
      <c r="C40" s="21"/>
      <c r="D40" s="21"/>
      <c r="E40" s="21"/>
      <c r="F40" s="22">
        <f t="shared" si="1"/>
        <v>29439.685000000001</v>
      </c>
      <c r="G40" s="23">
        <f>+[12]GKBJUN17!D51</f>
        <v>29549.838</v>
      </c>
      <c r="H40" s="67">
        <f t="shared" si="2"/>
        <v>-3.7277023312276558E-3</v>
      </c>
    </row>
    <row r="41" spans="2:8" x14ac:dyDescent="0.25">
      <c r="B41" s="21" t="s">
        <v>124</v>
      </c>
      <c r="C41" s="21"/>
      <c r="D41" s="21"/>
      <c r="E41" s="21"/>
      <c r="F41" s="22">
        <f t="shared" si="1"/>
        <v>1777.1179999999986</v>
      </c>
      <c r="G41" s="23">
        <f>+[12]GKBJUN17!D52</f>
        <v>2181.9609999999993</v>
      </c>
      <c r="H41" s="67">
        <f t="shared" si="2"/>
        <v>-0.18554089646881899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Edukiak</vt:lpstr>
      <vt:lpstr>KF-B</vt:lpstr>
      <vt:lpstr>KF-E</vt:lpstr>
      <vt:lpstr>KF-K&amp;L</vt:lpstr>
      <vt:lpstr>KF-Z</vt:lpstr>
      <vt:lpstr>G&amp;I</vt:lpstr>
      <vt:lpstr>Balantzea</vt:lpstr>
      <vt:lpstr>Bezeroen baliabideak</vt:lpstr>
      <vt:lpstr>Bezeroen maileguak</vt:lpstr>
      <vt:lpstr>Berankortasuna</vt:lpstr>
      <vt:lpstr>Kaudimena</vt:lpstr>
      <vt:lpstr>Balantzea!Área_de_impresión</vt:lpstr>
      <vt:lpstr>Berankortasuna!Área_de_impresión</vt:lpstr>
      <vt:lpstr>'Bezeroen baliabideak'!Área_de_impresión</vt:lpstr>
      <vt:lpstr>'Bezeroen maileguak'!Área_de_impresión</vt:lpstr>
      <vt:lpstr>'G&amp;I'!Área_de_impresión</vt:lpstr>
      <vt:lpstr>Kaudimena!Área_de_impresión</vt:lpstr>
      <vt:lpstr>'KF-B'!Área_de_impresión</vt:lpstr>
      <vt:lpstr>'KF-E'!Área_de_impresión</vt:lpstr>
      <vt:lpstr>'KF-K&amp;L'!Área_de_impresión</vt:lpstr>
      <vt:lpstr>'KF-Z'!Área_de_impresión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2017-11-10T09:35:42Z</cp:lastPrinted>
  <dcterms:created xsi:type="dcterms:W3CDTF">2017-01-30T09:33:19Z</dcterms:created>
  <dcterms:modified xsi:type="dcterms:W3CDTF">2018-03-23T14:30:16Z</dcterms:modified>
</cp:coreProperties>
</file>