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805" windowWidth="19440" windowHeight="5610" tabRatio="802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</sheet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'G&amp;I'!$A$4:$K$65</definedName>
    <definedName name="_xlnm.Print_Area" localSheetId="10">Kaudimena!$A$4:$K$65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H61" i="23" l="1"/>
  <c r="H60" i="23"/>
  <c r="H59" i="23"/>
  <c r="H55" i="23"/>
  <c r="H56" i="23"/>
  <c r="H57" i="23"/>
  <c r="H54" i="23"/>
  <c r="H33" i="23"/>
  <c r="H32" i="23"/>
  <c r="H31" i="23"/>
  <c r="H27" i="23"/>
  <c r="H28" i="23"/>
  <c r="H29" i="23"/>
  <c r="H26" i="23"/>
  <c r="G23" i="16" l="1"/>
  <c r="G22" i="16" l="1"/>
  <c r="G21" i="16" l="1"/>
  <c r="F39" i="11" l="1"/>
  <c r="H19" i="24" l="1"/>
  <c r="G20" i="24"/>
  <c r="G36" i="24"/>
  <c r="F20" i="24"/>
  <c r="H20" i="24" s="1"/>
  <c r="I56" i="19" l="1"/>
  <c r="I41" i="19"/>
  <c r="I26" i="19"/>
  <c r="I23" i="19"/>
  <c r="I20" i="19"/>
  <c r="I16" i="19"/>
  <c r="G41" i="19" l="1"/>
  <c r="F22" i="11"/>
  <c r="I52" i="19"/>
  <c r="I57" i="19" s="1"/>
  <c r="F17" i="11"/>
  <c r="G52" i="19"/>
  <c r="I39" i="19"/>
  <c r="F24" i="11" l="1"/>
  <c r="J35" i="18"/>
  <c r="F26" i="11" l="1"/>
  <c r="I23" i="18"/>
  <c r="I22" i="18"/>
  <c r="J15" i="18" l="1"/>
  <c r="E17" i="11" l="1"/>
  <c r="E22" i="11"/>
  <c r="F41" i="19"/>
  <c r="H27" i="19"/>
  <c r="E24" i="11" l="1"/>
  <c r="J27" i="19"/>
  <c r="F16" i="20" l="1"/>
  <c r="E26" i="11"/>
  <c r="E19" i="16"/>
  <c r="G19" i="16" s="1"/>
  <c r="F18" i="20" l="1"/>
  <c r="F37" i="16"/>
  <c r="F35" i="16"/>
  <c r="F19" i="16"/>
  <c r="G26" i="19" l="1"/>
  <c r="G23" i="19"/>
  <c r="G20" i="19"/>
  <c r="G16" i="19"/>
  <c r="G39" i="19" l="1"/>
  <c r="F15" i="11" s="1"/>
  <c r="G33" i="21"/>
  <c r="G15" i="21"/>
  <c r="G56" i="19"/>
  <c r="G57" i="19" s="1"/>
  <c r="F15" i="21" l="1"/>
  <c r="F26" i="19"/>
  <c r="F20" i="19"/>
  <c r="J41" i="18"/>
  <c r="F56" i="19" l="1"/>
  <c r="F35" i="24" l="1"/>
  <c r="H35" i="24" s="1"/>
  <c r="F33" i="24"/>
  <c r="H33" i="24" s="1"/>
  <c r="G32" i="24"/>
  <c r="G31" i="24"/>
  <c r="F41" i="21"/>
  <c r="F40" i="21"/>
  <c r="H40" i="21" s="1"/>
  <c r="F39" i="21"/>
  <c r="H39" i="21" s="1"/>
  <c r="F38" i="21"/>
  <c r="F37" i="21"/>
  <c r="H37" i="21" s="1"/>
  <c r="F36" i="21"/>
  <c r="H36" i="21" s="1"/>
  <c r="G16" i="24"/>
  <c r="F34" i="21"/>
  <c r="H34" i="21" s="1"/>
  <c r="G15" i="24"/>
  <c r="F33" i="21"/>
  <c r="H33" i="21" l="1"/>
  <c r="F16" i="24"/>
  <c r="H16" i="24" s="1"/>
  <c r="F32" i="24"/>
  <c r="H32" i="24" s="1"/>
  <c r="F15" i="24"/>
  <c r="F31" i="24"/>
  <c r="H31" i="24" s="1"/>
  <c r="H38" i="21"/>
  <c r="H41" i="21"/>
  <c r="G18" i="24"/>
  <c r="G34" i="24"/>
  <c r="H15" i="24"/>
  <c r="H17" i="24"/>
  <c r="H15" i="21"/>
  <c r="H16" i="21"/>
  <c r="H18" i="21"/>
  <c r="H19" i="21"/>
  <c r="H20" i="21"/>
  <c r="H21" i="21"/>
  <c r="H22" i="21"/>
  <c r="H23" i="21"/>
  <c r="F18" i="24" l="1"/>
  <c r="H18" i="24" s="1"/>
  <c r="F36" i="24"/>
  <c r="H36" i="24" s="1"/>
  <c r="F34" i="24"/>
  <c r="H34" i="24" s="1"/>
  <c r="F60" i="23" l="1"/>
  <c r="F59" i="23"/>
  <c r="F36" i="16" l="1"/>
  <c r="I29" i="18"/>
  <c r="E40" i="16" l="1"/>
  <c r="G40" i="16" s="1"/>
  <c r="G45" i="20"/>
  <c r="G24" i="20" l="1"/>
  <c r="E45" i="11"/>
  <c r="G45" i="11" s="1"/>
  <c r="E44" i="11"/>
  <c r="E43" i="11"/>
  <c r="G43" i="11" s="1"/>
  <c r="F24" i="20" l="1"/>
  <c r="E47" i="11"/>
  <c r="G47" i="11" s="1"/>
  <c r="G21" i="11"/>
  <c r="G23" i="11"/>
  <c r="G25" i="11"/>
  <c r="F25" i="20" l="1"/>
  <c r="E46" i="11"/>
  <c r="F50" i="11"/>
  <c r="F40" i="11"/>
  <c r="F41" i="11"/>
  <c r="F28" i="11"/>
  <c r="F18" i="11"/>
  <c r="F19" i="11"/>
  <c r="G15" i="20" l="1"/>
  <c r="G36" i="20"/>
  <c r="F44" i="11"/>
  <c r="E49" i="11"/>
  <c r="E48" i="11"/>
  <c r="F46" i="11" l="1"/>
  <c r="G44" i="11"/>
  <c r="G22" i="11"/>
  <c r="F45" i="20"/>
  <c r="H45" i="20" s="1"/>
  <c r="F42" i="20"/>
  <c r="H42" i="20" s="1"/>
  <c r="F37" i="20"/>
  <c r="E42" i="11"/>
  <c r="F48" i="11" l="1"/>
  <c r="G42" i="11"/>
  <c r="G16" i="20"/>
  <c r="G24" i="11"/>
  <c r="G37" i="20"/>
  <c r="G46" i="11"/>
  <c r="H21" i="20"/>
  <c r="G20" i="11"/>
  <c r="H16" i="20"/>
  <c r="H24" i="20"/>
  <c r="G25" i="20" l="1"/>
  <c r="G48" i="11"/>
  <c r="G39" i="20"/>
  <c r="G46" i="20"/>
  <c r="G18" i="20"/>
  <c r="H25" i="20"/>
  <c r="G27" i="11"/>
  <c r="G26" i="11"/>
  <c r="H37" i="20"/>
  <c r="F46" i="20"/>
  <c r="H46" i="20" s="1"/>
  <c r="G49" i="11" l="1"/>
  <c r="F43" i="23"/>
  <c r="H15" i="23"/>
  <c r="F44" i="23"/>
  <c r="H44" i="23" s="1"/>
  <c r="H16" i="23"/>
  <c r="F45" i="23"/>
  <c r="H17" i="23"/>
  <c r="F46" i="23"/>
  <c r="H46" i="23" s="1"/>
  <c r="H18" i="23"/>
  <c r="F47" i="23"/>
  <c r="H19" i="23"/>
  <c r="F48" i="23"/>
  <c r="H48" i="23" s="1"/>
  <c r="H20" i="23"/>
  <c r="F49" i="23"/>
  <c r="H21" i="23"/>
  <c r="F50" i="23"/>
  <c r="H50" i="23" s="1"/>
  <c r="H22" i="23"/>
  <c r="F51" i="23"/>
  <c r="H23" i="23"/>
  <c r="F52" i="23"/>
  <c r="H52" i="23" s="1"/>
  <c r="H24" i="23"/>
  <c r="F53" i="23"/>
  <c r="H25" i="23"/>
  <c r="F26" i="23"/>
  <c r="G26" i="23"/>
  <c r="F27" i="23"/>
  <c r="G27" i="23"/>
  <c r="F28" i="23"/>
  <c r="G28" i="23"/>
  <c r="H43" i="23"/>
  <c r="H45" i="23"/>
  <c r="H47" i="23"/>
  <c r="H49" i="23"/>
  <c r="H51" i="23"/>
  <c r="H53" i="23"/>
  <c r="G54" i="23"/>
  <c r="G55" i="23"/>
  <c r="G56" i="23"/>
  <c r="F34" i="16" l="1"/>
  <c r="F33" i="16"/>
  <c r="F32" i="16"/>
  <c r="F61" i="23"/>
  <c r="E20" i="16"/>
  <c r="F57" i="23"/>
  <c r="E18" i="16"/>
  <c r="F17" i="16"/>
  <c r="F16" i="16"/>
  <c r="F15" i="16"/>
  <c r="F56" i="23"/>
  <c r="E17" i="16"/>
  <c r="G17" i="16" s="1"/>
  <c r="F55" i="23"/>
  <c r="E16" i="16"/>
  <c r="G16" i="16" s="1"/>
  <c r="F54" i="23"/>
  <c r="E15" i="16"/>
  <c r="G15" i="16" s="1"/>
  <c r="F38" i="20"/>
  <c r="H38" i="20" s="1"/>
  <c r="H17" i="20"/>
  <c r="F40" i="20"/>
  <c r="H40" i="20" s="1"/>
  <c r="H19" i="20"/>
  <c r="F41" i="20"/>
  <c r="H41" i="20" s="1"/>
  <c r="H20" i="20"/>
  <c r="F39" i="20" l="1"/>
  <c r="H39" i="20" s="1"/>
  <c r="H18" i="20"/>
  <c r="H28" i="19" l="1"/>
  <c r="F37" i="11" l="1"/>
  <c r="F15" i="20"/>
  <c r="H42" i="19"/>
  <c r="H40" i="19"/>
  <c r="E18" i="11"/>
  <c r="E19" i="11"/>
  <c r="E39" i="11"/>
  <c r="G39" i="11" s="1"/>
  <c r="E38" i="11"/>
  <c r="G38" i="11" s="1"/>
  <c r="F16" i="19"/>
  <c r="J15" i="19"/>
  <c r="I27" i="18"/>
  <c r="J40" i="18"/>
  <c r="J30" i="18"/>
  <c r="J28" i="18"/>
  <c r="J26" i="18"/>
  <c r="J25" i="18"/>
  <c r="J24" i="18"/>
  <c r="J21" i="18"/>
  <c r="J20" i="18"/>
  <c r="J18" i="18"/>
  <c r="J17" i="18"/>
  <c r="J16" i="18"/>
  <c r="E41" i="11" l="1"/>
  <c r="G41" i="11" s="1"/>
  <c r="I32" i="18"/>
  <c r="E40" i="11"/>
  <c r="G40" i="11" s="1"/>
  <c r="G16" i="11"/>
  <c r="G17" i="11"/>
  <c r="G19" i="11"/>
  <c r="G18" i="11"/>
  <c r="F36" i="20"/>
  <c r="H36" i="20" s="1"/>
  <c r="H15" i="20"/>
  <c r="H53" i="19"/>
  <c r="E28" i="11"/>
  <c r="H15" i="19"/>
  <c r="J16" i="19"/>
  <c r="H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F23" i="19"/>
  <c r="J25" i="19"/>
  <c r="H25" i="19"/>
  <c r="J29" i="19"/>
  <c r="H29" i="19"/>
  <c r="H26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38" i="19"/>
  <c r="H38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1" i="19"/>
  <c r="H51" i="19"/>
  <c r="J54" i="19"/>
  <c r="H54" i="19"/>
  <c r="J55" i="19"/>
  <c r="H55" i="19"/>
  <c r="J26" i="19"/>
  <c r="J28" i="19"/>
  <c r="J40" i="19"/>
  <c r="F52" i="19"/>
  <c r="J42" i="19"/>
  <c r="J53" i="19"/>
  <c r="H22" i="18"/>
  <c r="H29" i="18"/>
  <c r="F39" i="19"/>
  <c r="E50" i="11" l="1"/>
  <c r="G50" i="11" s="1"/>
  <c r="I37" i="18"/>
  <c r="J29" i="18"/>
  <c r="E15" i="11"/>
  <c r="E38" i="16"/>
  <c r="G38" i="16" s="1"/>
  <c r="E39" i="16"/>
  <c r="G39" i="16" s="1"/>
  <c r="G28" i="11"/>
  <c r="J39" i="19"/>
  <c r="H39" i="19"/>
  <c r="J56" i="19"/>
  <c r="H56" i="19"/>
  <c r="J41" i="19"/>
  <c r="H41" i="19"/>
  <c r="H23" i="19"/>
  <c r="J23" i="19"/>
  <c r="H52" i="19"/>
  <c r="J22" i="18"/>
  <c r="E37" i="11" l="1"/>
  <c r="G37" i="11" s="1"/>
  <c r="G15" i="11"/>
  <c r="E37" i="16"/>
  <c r="G37" i="16" s="1"/>
  <c r="E35" i="16"/>
  <c r="G35" i="16" s="1"/>
  <c r="F57" i="19"/>
  <c r="J52" i="19"/>
  <c r="J57" i="19" l="1"/>
  <c r="H57" i="19"/>
  <c r="H23" i="18" l="1"/>
  <c r="J23" i="18" l="1"/>
  <c r="H27" i="18"/>
  <c r="H32" i="18" l="1"/>
  <c r="J27" i="18"/>
  <c r="H37" i="18" l="1"/>
  <c r="J37" i="18" s="1"/>
  <c r="J32" i="18"/>
  <c r="E31" i="17" l="1"/>
  <c r="G31" i="17" s="1"/>
  <c r="G15" i="17"/>
  <c r="E32" i="17"/>
  <c r="G32" i="17" s="1"/>
  <c r="G16" i="17"/>
  <c r="E34" i="17" l="1"/>
  <c r="G34" i="17" s="1"/>
  <c r="G18" i="17"/>
  <c r="G19" i="17"/>
  <c r="E35" i="17"/>
  <c r="G35" i="17" s="1"/>
  <c r="G20" i="17"/>
  <c r="E36" i="17"/>
  <c r="G36" i="17" s="1"/>
  <c r="E36" i="16"/>
  <c r="G36" i="16" s="1"/>
  <c r="E32" i="16"/>
  <c r="G32" i="16" s="1"/>
  <c r="G17" i="17" l="1"/>
  <c r="E33" i="17"/>
  <c r="G33" i="17" s="1"/>
  <c r="E33" i="16"/>
  <c r="G33" i="16" s="1"/>
  <c r="E34" i="16" l="1"/>
  <c r="G34" i="16" s="1"/>
  <c r="J39" i="18" l="1"/>
  <c r="F35" i="21" l="1"/>
  <c r="H35" i="21" s="1"/>
  <c r="H17" i="21"/>
  <c r="F18" i="16" l="1"/>
  <c r="G18" i="16" s="1"/>
  <c r="F20" i="16" l="1"/>
  <c r="G20" i="16" s="1"/>
  <c r="F43" i="20" l="1"/>
  <c r="F44" i="20" l="1"/>
  <c r="H43" i="20" l="1"/>
  <c r="H44" i="20" l="1"/>
  <c r="H22" i="20" l="1"/>
  <c r="H23" i="20" l="1"/>
  <c r="G18" i="15" l="1"/>
  <c r="E34" i="15" l="1"/>
  <c r="G34" i="15" s="1"/>
  <c r="G16" i="15"/>
  <c r="G15" i="15"/>
  <c r="E32" i="15" l="1"/>
  <c r="G32" i="15" s="1"/>
  <c r="E31" i="15"/>
  <c r="G31" i="15" l="1"/>
  <c r="G17" i="15"/>
  <c r="E33" i="15" l="1"/>
  <c r="G33" i="15" s="1"/>
  <c r="G19" i="15"/>
  <c r="E35" i="15" l="1"/>
  <c r="G35" i="15" l="1"/>
</calcChain>
</file>

<file path=xl/sharedStrings.xml><?xml version="1.0" encoding="utf-8"?>
<sst xmlns="http://schemas.openxmlformats.org/spreadsheetml/2006/main" count="334" uniqueCount="150">
  <si>
    <t>ROE</t>
  </si>
  <si>
    <t>ROA</t>
  </si>
  <si>
    <t>RORWA</t>
  </si>
  <si>
    <t>ROTE</t>
  </si>
  <si>
    <t>LCR</t>
  </si>
  <si>
    <t>NSFR</t>
  </si>
  <si>
    <t>Pro-forma:</t>
  </si>
  <si>
    <t>Pro-forma CET1 fully loaded</t>
  </si>
  <si>
    <t>LtD</t>
  </si>
  <si>
    <t>2017/II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</si>
  <si>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</si>
  <si>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</si>
  <si>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</si>
  <si>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</si>
  <si>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</si>
  <si>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</si>
  <si>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</si>
  <si>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</si>
  <si>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</si>
  <si>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</si>
  <si>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</si>
  <si>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</si>
  <si>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</si>
  <si>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</si>
  <si>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</si>
  <si>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</si>
  <si>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</si>
  <si>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</si>
  <si>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Azken hiruhilekoaren bilakaera</t>
  </si>
  <si>
    <t>Ald.</t>
  </si>
  <si>
    <t>2016/II</t>
  </si>
  <si>
    <t>2017/I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</si>
  <si>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</si>
  <si>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</si>
  <si>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</si>
  <si>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</si>
  <si>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</si>
  <si>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</si>
  <si>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</si>
  <si>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</si>
  <si>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</si>
  <si>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</si>
  <si>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</si>
  <si>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</si>
  <si>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</si>
  <si>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</si>
  <si>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</si>
  <si>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</si>
  <si>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</si>
  <si>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</si>
  <si>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</si>
  <si>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</si>
  <si>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</si>
  <si>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</si>
  <si>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</si>
  <si>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</si>
  <si>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</si>
  <si>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</si>
  <si>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</si>
  <si>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</si>
  <si>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</si>
  <si>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</si>
  <si>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</si>
  <si>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</si>
  <si>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</si>
  <si>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</si>
  <si>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Ustiapeneko jardueraren emaitza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</si>
  <si>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</si>
  <si>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</si>
  <si>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</si>
  <si>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</si>
  <si>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</si>
  <si>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</si>
  <si>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</si>
  <si>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</si>
  <si>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</si>
  <si>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e.a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</si>
  <si>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</si>
  <si>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</si>
  <si>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</si>
  <si>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</si>
  <si>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</si>
  <si>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</si>
  <si>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</si>
  <si>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</si>
  <si>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</si>
  <si>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</si>
  <si>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</si>
  <si>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</si>
  <si>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</si>
  <si>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</si>
  <si>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</si>
  <si>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</si>
  <si>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</si>
  <si>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</si>
  <si>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</si>
  <si>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</si>
  <si>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</si>
  <si>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</si>
  <si>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</si>
  <si>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</si>
  <si>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</si>
  <si>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</si>
  <si>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</si>
  <si>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</si>
  <si>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</si>
  <si>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</si>
  <si>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</si>
  <si>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</si>
  <si>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</si>
  <si>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</si>
  <si>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</si>
  <si>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</si>
  <si>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</si>
  <si>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</si>
  <si>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</si>
  <si>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</si>
  <si>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</si>
  <si>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</si>
  <si>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</si>
  <si>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</si>
  <si>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</si>
  <si>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</si>
  <si>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</si>
  <si>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</si>
  <si>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</si>
  <si>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</si>
  <si>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</si>
  <si>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</si>
  <si>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</si>
  <si>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t>Kredituaren estaldura ratioa</t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</si>
  <si>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</si>
  <si>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</si>
  <si>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</si>
  <si>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</si>
  <si>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</si>
  <si>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</si>
  <si>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</si>
  <si>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</si>
  <si>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</si>
  <si>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</si>
  <si>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</si>
  <si>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</si>
  <si>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</si>
  <si>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</si>
  <si>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</si>
  <si>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eta orain arte egindako hornidurak ditu barne.</t>
    </r>
  </si>
  <si>
    <r>
      <t>2017/II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</si>
  <si>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2016/II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</si>
  <si>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2017/I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</si>
</sst>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48708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 adierazgarrienak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 Kontua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baliabideak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677264</xdr:colOff>
      <xdr:row>1</xdr:row>
      <xdr:rowOff>31749</xdr:rowOff>
    </xdr:from>
    <xdr:to>
      <xdr:col>4</xdr:col>
      <xdr:colOff>550336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01264" y="222249"/>
          <a:ext cx="139707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889001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287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652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613834</xdr:colOff>
      <xdr:row>1</xdr:row>
      <xdr:rowOff>42333</xdr:rowOff>
    </xdr:from>
    <xdr:to>
      <xdr:col>5</xdr:col>
      <xdr:colOff>899585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61834" y="232833"/>
          <a:ext cx="14605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984234</xdr:colOff>
      <xdr:row>1</xdr:row>
      <xdr:rowOff>42349</xdr:rowOff>
    </xdr:from>
    <xdr:to>
      <xdr:col>7</xdr:col>
      <xdr:colOff>455085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06984" y="232849"/>
          <a:ext cx="14076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920736</xdr:colOff>
      <xdr:row>1</xdr:row>
      <xdr:rowOff>42349</xdr:rowOff>
    </xdr:from>
    <xdr:to>
      <xdr:col>7</xdr:col>
      <xdr:colOff>508004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43486" y="232849"/>
          <a:ext cx="152401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624417</xdr:colOff>
      <xdr:row>1</xdr:row>
      <xdr:rowOff>42333</xdr:rowOff>
    </xdr:from>
    <xdr:to>
      <xdr:col>5</xdr:col>
      <xdr:colOff>899584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72417" y="232833"/>
          <a:ext cx="14499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931319</xdr:colOff>
      <xdr:row>1</xdr:row>
      <xdr:rowOff>42349</xdr:rowOff>
    </xdr:from>
    <xdr:to>
      <xdr:col>7</xdr:col>
      <xdr:colOff>476253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54069" y="232849"/>
          <a:ext cx="148168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3" t="s">
        <v>9</v>
      </c>
      <c r="D10" s="3" t="s">
        <v>10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127</v>
      </c>
    </row>
    <row r="12" spans="2:8" ht="17.25" x14ac:dyDescent="0.3">
      <c r="B12" s="6" t="s">
        <v>12</v>
      </c>
      <c r="G12" s="4"/>
    </row>
    <row r="13" spans="2:8" x14ac:dyDescent="0.25">
      <c r="B13" s="74" t="s">
        <v>13</v>
      </c>
      <c r="G13" s="4"/>
    </row>
    <row r="14" spans="2:8" x14ac:dyDescent="0.25">
      <c r="B14" s="7"/>
      <c r="C14" s="7"/>
      <c r="D14" s="7"/>
      <c r="E14" s="7"/>
      <c r="F14" s="8" t="s">
        <v>9</v>
      </c>
      <c r="G14" s="9" t="s">
        <v>30</v>
      </c>
      <c r="H14" s="9" t="s">
        <v>29</v>
      </c>
    </row>
    <row r="15" spans="2:8" s="19" customFormat="1" x14ac:dyDescent="0.25">
      <c r="B15" s="19" t="s">
        <v>18</v>
      </c>
      <c r="F15" s="20">
        <f>+'Bezeroen maileguak'!F15</f>
        <v>44039.108999999997</v>
      </c>
      <c r="G15" s="25">
        <f>+'Bezeroen maileguak'!G15</f>
        <v>43661.41</v>
      </c>
      <c r="H15" s="35">
        <f t="shared" ref="H15:H17" si="0">IF(ISERROR($F15/G15),"-",$F15/G15-1)</f>
        <v>8.6506367980327958E-3</v>
      </c>
    </row>
    <row r="16" spans="2:8" x14ac:dyDescent="0.25">
      <c r="B16" s="21" t="s">
        <v>123</v>
      </c>
      <c r="C16" s="21"/>
      <c r="D16" s="21"/>
      <c r="E16" s="21"/>
      <c r="F16" s="22">
        <f>+'Bezeroen maileguak'!F16</f>
        <v>45281.445</v>
      </c>
      <c r="G16" s="23">
        <f>+'Bezeroen maileguak'!G16</f>
        <v>45297.732000000004</v>
      </c>
      <c r="H16" s="41">
        <f t="shared" si="0"/>
        <v>-3.5955442537394244E-4</v>
      </c>
    </row>
    <row r="17" spans="2:8" x14ac:dyDescent="0.25">
      <c r="B17" s="19" t="s">
        <v>128</v>
      </c>
      <c r="C17" s="19"/>
      <c r="D17" s="19"/>
      <c r="E17" s="19"/>
      <c r="F17" s="20">
        <v>2563.7829999999999</v>
      </c>
      <c r="G17" s="25">
        <v>3357.9470000000001</v>
      </c>
      <c r="H17" s="35">
        <f t="shared" si="0"/>
        <v>-0.23650283938370686</v>
      </c>
    </row>
    <row r="18" spans="2:8" x14ac:dyDescent="0.25">
      <c r="B18" s="5" t="s">
        <v>129</v>
      </c>
      <c r="C18" s="5"/>
      <c r="D18" s="5"/>
      <c r="E18" s="5"/>
      <c r="F18" s="70">
        <f>+F17/F16</f>
        <v>5.6618842441975958E-2</v>
      </c>
      <c r="G18" s="71">
        <f>+G17/G16</f>
        <v>7.4130576780312082E-2</v>
      </c>
      <c r="H18" s="72" t="str">
        <f>IF(ISERROR($F18-G18),"-",CONCATENATE((FIXED($F18-G18,4)*10000)," op"))</f>
        <v>-175 op</v>
      </c>
    </row>
    <row r="19" spans="2:8" x14ac:dyDescent="0.25">
      <c r="B19" s="19" t="s">
        <v>103</v>
      </c>
      <c r="C19" s="19"/>
      <c r="D19" s="19"/>
      <c r="E19" s="19"/>
      <c r="F19" s="20">
        <v>1218.6210000000001</v>
      </c>
      <c r="G19" s="25">
        <v>1721.3630000000001</v>
      </c>
      <c r="H19" s="35">
        <f>IF(ISERROR($F19/G19),"-",$F19/G19-1)</f>
        <v>-0.29206041956286966</v>
      </c>
    </row>
    <row r="20" spans="2:8" x14ac:dyDescent="0.25">
      <c r="B20" s="5" t="s">
        <v>130</v>
      </c>
      <c r="C20" s="5"/>
      <c r="D20" s="5"/>
      <c r="E20" s="5"/>
      <c r="F20" s="70">
        <f>+F19/F17</f>
        <v>0.47532142930973492</v>
      </c>
      <c r="G20" s="71">
        <f>+G19/G17</f>
        <v>0.51262363581080939</v>
      </c>
      <c r="H20" s="72" t="str">
        <f>IF(ISERROR($F20-G20),"-",CONCATENATE((FIXED($F20-G20,4)*10000)," op"))</f>
        <v>-373 op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78"/>
      <c r="C22" s="5"/>
      <c r="D22" s="5"/>
      <c r="E22" s="5"/>
      <c r="F22" s="37"/>
      <c r="G22" s="37"/>
      <c r="H22" s="38"/>
    </row>
    <row r="23" spans="2:8" x14ac:dyDescent="0.25">
      <c r="B23" s="5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28</v>
      </c>
      <c r="G28" s="4"/>
    </row>
    <row r="29" spans="2:8" x14ac:dyDescent="0.25">
      <c r="B29" s="74" t="s">
        <v>13</v>
      </c>
      <c r="G29" s="4"/>
    </row>
    <row r="30" spans="2:8" x14ac:dyDescent="0.25">
      <c r="B30" s="7"/>
      <c r="C30" s="7"/>
      <c r="D30" s="7"/>
      <c r="E30" s="7"/>
      <c r="F30" s="8" t="s">
        <v>9</v>
      </c>
      <c r="G30" s="9" t="s">
        <v>31</v>
      </c>
      <c r="H30" s="9" t="s">
        <v>29</v>
      </c>
    </row>
    <row r="31" spans="2:8" x14ac:dyDescent="0.25">
      <c r="B31" s="19" t="s">
        <v>18</v>
      </c>
      <c r="C31" s="19"/>
      <c r="D31" s="19"/>
      <c r="E31" s="19"/>
      <c r="F31" s="20">
        <f>+'Bezeroen maileguak'!F33</f>
        <v>44039.108999999997</v>
      </c>
      <c r="G31" s="25">
        <f>+'Bezeroen maileguak'!G33</f>
        <v>42169.372000000003</v>
      </c>
      <c r="H31" s="35">
        <f t="shared" ref="H31:H35" si="1">IF(ISERROR($F31/G31),"-",$F31/G31-1)</f>
        <v>4.4338744243096473E-2</v>
      </c>
    </row>
    <row r="32" spans="2:8" x14ac:dyDescent="0.25">
      <c r="B32" s="21" t="s">
        <v>123</v>
      </c>
      <c r="C32" s="21"/>
      <c r="D32" s="21"/>
      <c r="E32" s="21"/>
      <c r="F32" s="22">
        <f>+'Bezeroen maileguak'!F34</f>
        <v>45281.445</v>
      </c>
      <c r="G32" s="23">
        <f>+'Bezeroen maileguak'!G34</f>
        <v>43490.527999999998</v>
      </c>
      <c r="H32" s="41">
        <f t="shared" si="1"/>
        <v>4.1179472458922506E-2</v>
      </c>
    </row>
    <row r="33" spans="2:8" x14ac:dyDescent="0.25">
      <c r="B33" s="19" t="s">
        <v>128</v>
      </c>
      <c r="C33" s="19"/>
      <c r="D33" s="19"/>
      <c r="E33" s="19"/>
      <c r="F33" s="20">
        <f>+F17</f>
        <v>2563.7829999999999</v>
      </c>
      <c r="G33" s="25">
        <v>2800.5259999999998</v>
      </c>
      <c r="H33" s="35">
        <f t="shared" si="1"/>
        <v>-8.4535190889140077E-2</v>
      </c>
    </row>
    <row r="34" spans="2:8" x14ac:dyDescent="0.25">
      <c r="B34" s="5" t="s">
        <v>129</v>
      </c>
      <c r="C34" s="5"/>
      <c r="D34" s="5"/>
      <c r="E34" s="5"/>
      <c r="F34" s="70">
        <f>+F18</f>
        <v>5.6618842441975958E-2</v>
      </c>
      <c r="G34" s="71">
        <f>+G33/G32</f>
        <v>6.4393929639115902E-2</v>
      </c>
      <c r="H34" s="72" t="str">
        <f>IF(ISERROR($F34-G34),"-",CONCATENATE((FIXED($F34-G34,4)*10000)," op"))</f>
        <v>-78 op</v>
      </c>
    </row>
    <row r="35" spans="2:8" x14ac:dyDescent="0.25">
      <c r="B35" s="19" t="s">
        <v>103</v>
      </c>
      <c r="C35" s="19"/>
      <c r="D35" s="19"/>
      <c r="E35" s="19"/>
      <c r="F35" s="20">
        <f t="shared" ref="F35:F36" si="2">+F19</f>
        <v>1218.6210000000001</v>
      </c>
      <c r="G35" s="25">
        <v>1348.75</v>
      </c>
      <c r="H35" s="35">
        <f t="shared" si="1"/>
        <v>-9.648118628359581E-2</v>
      </c>
    </row>
    <row r="36" spans="2:8" x14ac:dyDescent="0.25">
      <c r="B36" s="5" t="s">
        <v>130</v>
      </c>
      <c r="C36" s="5"/>
      <c r="D36" s="5"/>
      <c r="E36" s="5"/>
      <c r="F36" s="70">
        <f t="shared" si="2"/>
        <v>0.47532142930973492</v>
      </c>
      <c r="G36" s="71">
        <f>+G35/G33</f>
        <v>0.48160595545265428</v>
      </c>
      <c r="H36" s="72" t="str">
        <f>IF(ISERROR($F36-G36),"-",CONCATENATE((FIXED($F36-G36,4)*10000)," op"))</f>
        <v>-63 op</v>
      </c>
    </row>
    <row r="37" spans="2:8" x14ac:dyDescent="0.25">
      <c r="B37" s="5"/>
    </row>
    <row r="38" spans="2:8" x14ac:dyDescent="0.25">
      <c r="B38" s="68"/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1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131</v>
      </c>
    </row>
    <row r="12" spans="2:8" ht="17.25" x14ac:dyDescent="0.3">
      <c r="B12" s="6" t="s">
        <v>12</v>
      </c>
      <c r="G12" s="4"/>
    </row>
    <row r="13" spans="2:8" x14ac:dyDescent="0.25">
      <c r="B13" s="74" t="s">
        <v>13</v>
      </c>
      <c r="G13" s="4"/>
    </row>
    <row r="14" spans="2:8" ht="17.25" x14ac:dyDescent="0.25">
      <c r="B14" s="7"/>
      <c r="C14" s="7"/>
      <c r="D14" s="7"/>
      <c r="E14" s="7"/>
      <c r="F14" s="8" t="s">
        <v>147</v>
      </c>
      <c r="G14" s="9" t="s">
        <v>148</v>
      </c>
      <c r="H14" s="9" t="s">
        <v>29</v>
      </c>
    </row>
    <row r="15" spans="2:8" x14ac:dyDescent="0.25">
      <c r="B15" s="21" t="s">
        <v>132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133</v>
      </c>
      <c r="C16" s="21"/>
      <c r="D16" s="21"/>
      <c r="E16" s="21"/>
      <c r="F16" s="22">
        <v>2788.5459999999998</v>
      </c>
      <c r="G16" s="23">
        <v>2666.42</v>
      </c>
      <c r="H16" s="41">
        <f t="shared" si="0"/>
        <v>4.5801486637513822E-2</v>
      </c>
    </row>
    <row r="17" spans="2:8" x14ac:dyDescent="0.25">
      <c r="B17" s="21" t="s">
        <v>134</v>
      </c>
      <c r="C17" s="21"/>
      <c r="D17" s="21"/>
      <c r="E17" s="21"/>
      <c r="F17" s="22">
        <v>85.097499999999997</v>
      </c>
      <c r="G17" s="23">
        <v>72.08</v>
      </c>
      <c r="H17" s="41">
        <f t="shared" si="0"/>
        <v>0.18059794672586005</v>
      </c>
    </row>
    <row r="18" spans="2:8" x14ac:dyDescent="0.25">
      <c r="B18" s="21" t="s">
        <v>135</v>
      </c>
      <c r="C18" s="21"/>
      <c r="D18" s="21"/>
      <c r="E18" s="21"/>
      <c r="F18" s="22">
        <v>4.3555206212306494</v>
      </c>
      <c r="G18" s="23">
        <v>3.7610000000000001</v>
      </c>
      <c r="H18" s="41">
        <f t="shared" si="0"/>
        <v>0.15807514523548249</v>
      </c>
    </row>
    <row r="19" spans="2:8" x14ac:dyDescent="0.25">
      <c r="B19" s="21" t="s">
        <v>108</v>
      </c>
      <c r="C19" s="21"/>
      <c r="D19" s="21"/>
      <c r="E19" s="21"/>
      <c r="F19" s="22">
        <v>355.85900000000004</v>
      </c>
      <c r="G19" s="23">
        <v>194.79400999999996</v>
      </c>
      <c r="H19" s="41">
        <f t="shared" si="0"/>
        <v>0.82684775573951219</v>
      </c>
    </row>
    <row r="20" spans="2:8" x14ac:dyDescent="0.25">
      <c r="B20" s="21" t="s">
        <v>92</v>
      </c>
      <c r="C20" s="21"/>
      <c r="D20" s="21"/>
      <c r="E20" s="21"/>
      <c r="F20" s="22">
        <v>-334.346</v>
      </c>
      <c r="G20" s="23">
        <v>-318.62799999999999</v>
      </c>
      <c r="H20" s="41">
        <f t="shared" si="0"/>
        <v>4.9330253461717266E-2</v>
      </c>
    </row>
    <row r="21" spans="2:8" x14ac:dyDescent="0.25">
      <c r="B21" s="21" t="s">
        <v>136</v>
      </c>
      <c r="C21" s="21"/>
      <c r="D21" s="21"/>
      <c r="E21" s="21"/>
      <c r="F21" s="22">
        <v>-293.85036186450708</v>
      </c>
      <c r="G21" s="23">
        <v>-114.67956999999996</v>
      </c>
      <c r="H21" s="41">
        <f t="shared" si="0"/>
        <v>1.5623601646265954</v>
      </c>
    </row>
    <row r="22" spans="2:8" x14ac:dyDescent="0.25">
      <c r="B22" s="5" t="s">
        <v>137</v>
      </c>
      <c r="C22" s="5"/>
      <c r="D22" s="5"/>
      <c r="E22" s="5"/>
      <c r="F22" s="17">
        <v>4665.6616587567241</v>
      </c>
      <c r="G22" s="37">
        <v>4563.7474399999992</v>
      </c>
      <c r="H22" s="38">
        <f t="shared" si="0"/>
        <v>2.2331257392439019E-2</v>
      </c>
    </row>
    <row r="23" spans="2:8" x14ac:dyDescent="0.25">
      <c r="B23" s="5" t="s">
        <v>138</v>
      </c>
      <c r="C23" s="5"/>
      <c r="D23" s="5"/>
      <c r="E23" s="5"/>
      <c r="F23" s="17">
        <v>4665.6616587567241</v>
      </c>
      <c r="G23" s="37">
        <v>4563.7474399999992</v>
      </c>
      <c r="H23" s="38">
        <f t="shared" si="0"/>
        <v>2.2331257392439019E-2</v>
      </c>
    </row>
    <row r="24" spans="2:8" x14ac:dyDescent="0.25">
      <c r="B24" s="5" t="s">
        <v>139</v>
      </c>
      <c r="C24" s="5"/>
      <c r="D24" s="5"/>
      <c r="E24" s="5"/>
      <c r="F24" s="17">
        <v>4665.6616587567241</v>
      </c>
      <c r="G24" s="37">
        <v>4596.4024399999989</v>
      </c>
      <c r="H24" s="38">
        <f t="shared" si="0"/>
        <v>1.506813636551918E-2</v>
      </c>
    </row>
    <row r="25" spans="2:8" x14ac:dyDescent="0.25">
      <c r="B25" s="5" t="s">
        <v>140</v>
      </c>
      <c r="C25" s="5"/>
      <c r="D25" s="5"/>
      <c r="E25" s="5"/>
      <c r="F25" s="17">
        <v>30739.179756839767</v>
      </c>
      <c r="G25" s="37">
        <v>30810.341770853582</v>
      </c>
      <c r="H25" s="38">
        <f t="shared" si="0"/>
        <v>-2.309679475257731E-3</v>
      </c>
    </row>
    <row r="26" spans="2:8" ht="17.25" x14ac:dyDescent="0.3">
      <c r="B26" s="6" t="s">
        <v>141</v>
      </c>
      <c r="C26" s="6"/>
      <c r="D26" s="6"/>
      <c r="E26" s="6"/>
      <c r="F26" s="42">
        <f>+F22/F25</f>
        <v>0.15178224323694159</v>
      </c>
      <c r="G26" s="43">
        <f>+G22/G25</f>
        <v>0.14812388236203469</v>
      </c>
      <c r="H26" s="44" t="str">
        <f>IF(ISERROR($F26-G26),"-",CONCATENATE((FIXED($F26-G26,4)*10000)," op"))</f>
        <v>37 op</v>
      </c>
    </row>
    <row r="27" spans="2:8" ht="17.25" x14ac:dyDescent="0.3">
      <c r="B27" s="6" t="s">
        <v>142</v>
      </c>
      <c r="C27" s="6"/>
      <c r="D27" s="6"/>
      <c r="E27" s="6"/>
      <c r="F27" s="42">
        <f>+F23/F25</f>
        <v>0.15178224323694159</v>
      </c>
      <c r="G27" s="43">
        <f>+G23/G25</f>
        <v>0.14812388236203469</v>
      </c>
      <c r="H27" s="44" t="str">
        <f t="shared" ref="H27:H29" si="1">IF(ISERROR($F27-G27),"-",CONCATENATE((FIXED($F27-G27,4)*10000)," op"))</f>
        <v>37 op</v>
      </c>
    </row>
    <row r="28" spans="2:8" ht="17.25" x14ac:dyDescent="0.3">
      <c r="B28" s="6" t="s">
        <v>37</v>
      </c>
      <c r="C28" s="6"/>
      <c r="D28" s="6"/>
      <c r="E28" s="6"/>
      <c r="F28" s="42">
        <f>+F24/F25</f>
        <v>0.15178224323694159</v>
      </c>
      <c r="G28" s="43">
        <f>+G24/G25</f>
        <v>0.1491837537598551</v>
      </c>
      <c r="H28" s="44" t="str">
        <f t="shared" si="1"/>
        <v>26 op</v>
      </c>
    </row>
    <row r="29" spans="2:8" ht="17.25" x14ac:dyDescent="0.3">
      <c r="B29" s="6" t="s">
        <v>38</v>
      </c>
      <c r="C29" s="6"/>
      <c r="D29" s="6"/>
      <c r="E29" s="6"/>
      <c r="F29" s="42">
        <v>8.0429995264640661E-2</v>
      </c>
      <c r="G29" s="43">
        <v>7.8049022653611771E-2</v>
      </c>
      <c r="H29" s="44" t="str">
        <f t="shared" si="1"/>
        <v>24 op</v>
      </c>
    </row>
    <row r="30" spans="2:8" x14ac:dyDescent="0.25">
      <c r="B30" s="50" t="s">
        <v>6</v>
      </c>
      <c r="C30" s="21"/>
      <c r="D30" s="21"/>
      <c r="E30" s="21"/>
      <c r="F30" s="51"/>
      <c r="G30" s="21"/>
      <c r="H30" s="52"/>
    </row>
    <row r="31" spans="2:8" x14ac:dyDescent="0.25">
      <c r="B31" s="53" t="s">
        <v>143</v>
      </c>
      <c r="C31" s="54"/>
      <c r="D31" s="54"/>
      <c r="E31" s="54"/>
      <c r="F31" s="55">
        <v>0.14824736290360591</v>
      </c>
      <c r="G31" s="56">
        <v>0.14169277130134303</v>
      </c>
      <c r="H31" s="57" t="str">
        <f>IF(ISERROR($F31-G31),"-",CONCATENATE((FIXED($F31-G31,4)*10000)," op"))</f>
        <v>66 op</v>
      </c>
    </row>
    <row r="32" spans="2:8" x14ac:dyDescent="0.25">
      <c r="B32" s="50" t="s">
        <v>144</v>
      </c>
      <c r="C32" s="21"/>
      <c r="D32" s="21"/>
      <c r="E32" s="21"/>
      <c r="F32" s="58">
        <v>0.14824736290360591</v>
      </c>
      <c r="G32" s="59">
        <v>0.14274706326048664</v>
      </c>
      <c r="H32" s="60" t="str">
        <f>IF(ISERROR($F32-G32),"-",CONCATENATE((FIXED($F32-G32,4)*10000)," op"))</f>
        <v>55 op</v>
      </c>
    </row>
    <row r="33" spans="2:8" x14ac:dyDescent="0.25">
      <c r="B33" s="50" t="s">
        <v>145</v>
      </c>
      <c r="C33" s="21"/>
      <c r="D33" s="21"/>
      <c r="E33" s="21"/>
      <c r="F33" s="58">
        <v>7.8927927272805967E-2</v>
      </c>
      <c r="G33" s="59">
        <v>7.5276130899928462E-2</v>
      </c>
      <c r="H33" s="60" t="str">
        <f>IF(ISERROR($F33-G33),"-",CONCATENATE((FIXED($F33-G33,4)*10000)," op"))</f>
        <v>37 op</v>
      </c>
    </row>
    <row r="34" spans="2:8" x14ac:dyDescent="0.25">
      <c r="B34" s="50"/>
      <c r="C34" s="21"/>
      <c r="D34" s="21"/>
      <c r="E34" s="21"/>
      <c r="F34" s="59"/>
      <c r="G34" s="59"/>
      <c r="H34" s="60"/>
    </row>
    <row r="35" spans="2:8" ht="17.25" x14ac:dyDescent="0.25">
      <c r="B35" s="68" t="s">
        <v>146</v>
      </c>
      <c r="C35" s="21"/>
      <c r="D35" s="21"/>
      <c r="E35" s="21"/>
      <c r="F35" s="59"/>
      <c r="G35" s="59"/>
      <c r="H35" s="60"/>
    </row>
    <row r="36" spans="2:8" x14ac:dyDescent="0.25">
      <c r="B36" s="50"/>
      <c r="C36" s="21"/>
      <c r="D36" s="21"/>
      <c r="E36" s="21"/>
      <c r="F36" s="59"/>
      <c r="G36" s="59"/>
      <c r="H36" s="60"/>
    </row>
    <row r="40" spans="2:8" ht="17.25" x14ac:dyDescent="0.3">
      <c r="B40" s="6" t="s">
        <v>28</v>
      </c>
      <c r="G40" s="4"/>
    </row>
    <row r="41" spans="2:8" x14ac:dyDescent="0.25">
      <c r="B41" s="74" t="s">
        <v>13</v>
      </c>
      <c r="G41" s="4"/>
    </row>
    <row r="42" spans="2:8" ht="17.25" x14ac:dyDescent="0.25">
      <c r="B42" s="7"/>
      <c r="C42" s="7"/>
      <c r="D42" s="7"/>
      <c r="E42" s="7"/>
      <c r="F42" s="8" t="s">
        <v>147</v>
      </c>
      <c r="G42" s="9" t="s">
        <v>149</v>
      </c>
      <c r="H42" s="9" t="s">
        <v>29</v>
      </c>
    </row>
    <row r="43" spans="2:8" x14ac:dyDescent="0.25">
      <c r="B43" s="21" t="s">
        <v>132</v>
      </c>
      <c r="C43" s="21"/>
      <c r="D43" s="21"/>
      <c r="E43" s="21"/>
      <c r="F43" s="22">
        <f t="shared" ref="F43:F57" si="2">+F15</f>
        <v>2060</v>
      </c>
      <c r="G43" s="23">
        <v>2060</v>
      </c>
      <c r="H43" s="41">
        <f t="shared" ref="H43:H53" si="3">IF(ISERROR($F43/G43),"-",$F43/G43-1)</f>
        <v>0</v>
      </c>
    </row>
    <row r="44" spans="2:8" x14ac:dyDescent="0.25">
      <c r="B44" s="21" t="s">
        <v>133</v>
      </c>
      <c r="C44" s="21"/>
      <c r="D44" s="21"/>
      <c r="E44" s="21"/>
      <c r="F44" s="22">
        <f t="shared" si="2"/>
        <v>2788.5459999999998</v>
      </c>
      <c r="G44" s="23">
        <v>2788.5459999999998</v>
      </c>
      <c r="H44" s="41">
        <f t="shared" si="3"/>
        <v>0</v>
      </c>
    </row>
    <row r="45" spans="2:8" x14ac:dyDescent="0.25">
      <c r="B45" s="21" t="s">
        <v>134</v>
      </c>
      <c r="C45" s="21"/>
      <c r="D45" s="21"/>
      <c r="E45" s="21"/>
      <c r="F45" s="22">
        <f t="shared" si="2"/>
        <v>85.097499999999997</v>
      </c>
      <c r="G45" s="23">
        <v>45.118000000000002</v>
      </c>
      <c r="H45" s="41">
        <f t="shared" si="3"/>
        <v>0.88610975663814862</v>
      </c>
    </row>
    <row r="46" spans="2:8" x14ac:dyDescent="0.25">
      <c r="B46" s="21" t="s">
        <v>135</v>
      </c>
      <c r="C46" s="21"/>
      <c r="D46" s="21"/>
      <c r="E46" s="21"/>
      <c r="F46" s="22">
        <f t="shared" si="2"/>
        <v>4.3555206212306494</v>
      </c>
      <c r="G46" s="23">
        <v>4.1577410543073317</v>
      </c>
      <c r="H46" s="41">
        <f t="shared" si="3"/>
        <v>4.7568995841725803E-2</v>
      </c>
    </row>
    <row r="47" spans="2:8" x14ac:dyDescent="0.25">
      <c r="B47" s="21" t="s">
        <v>108</v>
      </c>
      <c r="C47" s="21"/>
      <c r="D47" s="21"/>
      <c r="E47" s="21"/>
      <c r="F47" s="22">
        <f t="shared" si="2"/>
        <v>355.85900000000004</v>
      </c>
      <c r="G47" s="23">
        <v>342.78459999999995</v>
      </c>
      <c r="H47" s="41">
        <f t="shared" si="3"/>
        <v>3.8141736822483008E-2</v>
      </c>
    </row>
    <row r="48" spans="2:8" x14ac:dyDescent="0.25">
      <c r="B48" s="21" t="s">
        <v>92</v>
      </c>
      <c r="C48" s="21"/>
      <c r="D48" s="21"/>
      <c r="E48" s="21"/>
      <c r="F48" s="22">
        <f t="shared" si="2"/>
        <v>-334.346</v>
      </c>
      <c r="G48" s="23">
        <v>-329.35</v>
      </c>
      <c r="H48" s="41">
        <f t="shared" si="3"/>
        <v>1.5169272810080292E-2</v>
      </c>
    </row>
    <row r="49" spans="2:8" x14ac:dyDescent="0.25">
      <c r="B49" s="21" t="s">
        <v>136</v>
      </c>
      <c r="C49" s="21"/>
      <c r="D49" s="21"/>
      <c r="E49" s="21"/>
      <c r="F49" s="22">
        <f t="shared" si="2"/>
        <v>-293.85036186450708</v>
      </c>
      <c r="G49" s="23">
        <v>-298.36968139437516</v>
      </c>
      <c r="H49" s="41">
        <f t="shared" si="3"/>
        <v>-1.5146711652296196E-2</v>
      </c>
    </row>
    <row r="50" spans="2:8" x14ac:dyDescent="0.25">
      <c r="B50" s="5" t="s">
        <v>137</v>
      </c>
      <c r="C50" s="5"/>
      <c r="D50" s="5"/>
      <c r="E50" s="5"/>
      <c r="F50" s="17">
        <f t="shared" si="2"/>
        <v>4665.6616587567241</v>
      </c>
      <c r="G50" s="37">
        <v>4612.8866596599328</v>
      </c>
      <c r="H50" s="38">
        <f t="shared" si="3"/>
        <v>1.1440775156760896E-2</v>
      </c>
    </row>
    <row r="51" spans="2:8" x14ac:dyDescent="0.25">
      <c r="B51" s="5" t="s">
        <v>138</v>
      </c>
      <c r="C51" s="5"/>
      <c r="D51" s="5"/>
      <c r="E51" s="5"/>
      <c r="F51" s="17">
        <f t="shared" si="2"/>
        <v>4665.6616587567241</v>
      </c>
      <c r="G51" s="37">
        <v>4612.8866596599328</v>
      </c>
      <c r="H51" s="38">
        <f t="shared" si="3"/>
        <v>1.1440775156760896E-2</v>
      </c>
    </row>
    <row r="52" spans="2:8" x14ac:dyDescent="0.25">
      <c r="B52" s="5" t="s">
        <v>139</v>
      </c>
      <c r="C52" s="5"/>
      <c r="D52" s="5"/>
      <c r="E52" s="5"/>
      <c r="F52" s="17">
        <f t="shared" si="2"/>
        <v>4665.6616587567241</v>
      </c>
      <c r="G52" s="37">
        <v>4612.8866596599328</v>
      </c>
      <c r="H52" s="38">
        <f t="shared" si="3"/>
        <v>1.1440775156760896E-2</v>
      </c>
    </row>
    <row r="53" spans="2:8" x14ac:dyDescent="0.25">
      <c r="B53" s="5" t="s">
        <v>140</v>
      </c>
      <c r="C53" s="5"/>
      <c r="D53" s="5"/>
      <c r="E53" s="5"/>
      <c r="F53" s="17">
        <f t="shared" si="2"/>
        <v>30739.179756839767</v>
      </c>
      <c r="G53" s="37">
        <v>30309.78346213347</v>
      </c>
      <c r="H53" s="38">
        <f t="shared" si="3"/>
        <v>1.4166920566844432E-2</v>
      </c>
    </row>
    <row r="54" spans="2:8" ht="17.25" x14ac:dyDescent="0.3">
      <c r="B54" s="6" t="s">
        <v>141</v>
      </c>
      <c r="C54" s="6"/>
      <c r="D54" s="6"/>
      <c r="E54" s="6"/>
      <c r="F54" s="42">
        <f t="shared" si="2"/>
        <v>0.15178224323694159</v>
      </c>
      <c r="G54" s="43">
        <f>+G50/G53</f>
        <v>0.15219134328105283</v>
      </c>
      <c r="H54" s="44" t="str">
        <f>IF(ISERROR($F54-G54),"-",CONCATENATE((FIXED($F54-G54,4)*10000)," op"))</f>
        <v>-4 op</v>
      </c>
    </row>
    <row r="55" spans="2:8" ht="17.25" x14ac:dyDescent="0.3">
      <c r="B55" s="6" t="s">
        <v>142</v>
      </c>
      <c r="C55" s="6"/>
      <c r="D55" s="6"/>
      <c r="E55" s="6"/>
      <c r="F55" s="42">
        <f t="shared" si="2"/>
        <v>0.15178224323694159</v>
      </c>
      <c r="G55" s="43">
        <f>+G51/G53</f>
        <v>0.15219134328105283</v>
      </c>
      <c r="H55" s="44" t="str">
        <f t="shared" ref="H55:H57" si="4">IF(ISERROR($F55-G55),"-",CONCATENATE((FIXED($F55-G55,4)*10000)," op"))</f>
        <v>-4 op</v>
      </c>
    </row>
    <row r="56" spans="2:8" ht="17.25" x14ac:dyDescent="0.3">
      <c r="B56" s="6" t="s">
        <v>37</v>
      </c>
      <c r="C56" s="6"/>
      <c r="D56" s="6"/>
      <c r="E56" s="6"/>
      <c r="F56" s="42">
        <f t="shared" si="2"/>
        <v>0.15178224323694159</v>
      </c>
      <c r="G56" s="43">
        <f>+G52/G53</f>
        <v>0.15219134328105283</v>
      </c>
      <c r="H56" s="44" t="str">
        <f t="shared" si="4"/>
        <v>-4 op</v>
      </c>
    </row>
    <row r="57" spans="2:8" ht="17.25" x14ac:dyDescent="0.3">
      <c r="B57" s="6" t="s">
        <v>38</v>
      </c>
      <c r="C57" s="6"/>
      <c r="D57" s="6"/>
      <c r="E57" s="6"/>
      <c r="F57" s="42">
        <f t="shared" si="2"/>
        <v>8.0429995264640661E-2</v>
      </c>
      <c r="G57" s="43">
        <v>7.9572787269512862E-2</v>
      </c>
      <c r="H57" s="44" t="str">
        <f t="shared" si="4"/>
        <v>9 op</v>
      </c>
    </row>
    <row r="58" spans="2:8" x14ac:dyDescent="0.25">
      <c r="B58" s="50" t="s">
        <v>6</v>
      </c>
      <c r="C58" s="21"/>
      <c r="D58" s="21"/>
      <c r="E58" s="21"/>
      <c r="F58" s="51"/>
      <c r="G58" s="21"/>
      <c r="H58" s="52"/>
    </row>
    <row r="59" spans="2:8" x14ac:dyDescent="0.25">
      <c r="B59" s="53" t="s">
        <v>143</v>
      </c>
      <c r="C59" s="54"/>
      <c r="D59" s="54"/>
      <c r="E59" s="54"/>
      <c r="F59" s="55">
        <f t="shared" ref="F59:F61" si="5">+F31</f>
        <v>0.14824736290360591</v>
      </c>
      <c r="G59" s="56">
        <v>0.14846394676583535</v>
      </c>
      <c r="H59" s="57" t="str">
        <f>IF(ISERROR($F59-G59),"-",CONCATENATE((FIXED($F59-G59,4)*10000)," op"))</f>
        <v>-2 op</v>
      </c>
    </row>
    <row r="60" spans="2:8" x14ac:dyDescent="0.25">
      <c r="B60" s="50" t="s">
        <v>144</v>
      </c>
      <c r="C60" s="21"/>
      <c r="D60" s="21"/>
      <c r="E60" s="21"/>
      <c r="F60" s="58">
        <f t="shared" si="5"/>
        <v>0.14824736290360591</v>
      </c>
      <c r="G60" s="59">
        <v>0.14846394676583535</v>
      </c>
      <c r="H60" s="60" t="str">
        <f>IF(ISERROR($F60-G60),"-",CONCATENATE((FIXED($F60-G60,4)*10000)," op"))</f>
        <v>-2 op</v>
      </c>
    </row>
    <row r="61" spans="2:8" x14ac:dyDescent="0.25">
      <c r="B61" s="50" t="s">
        <v>145</v>
      </c>
      <c r="C61" s="21"/>
      <c r="D61" s="21"/>
      <c r="E61" s="21"/>
      <c r="F61" s="58">
        <f t="shared" si="5"/>
        <v>7.8927927272805967E-2</v>
      </c>
      <c r="G61" s="59">
        <v>7.8003932915517687E-2</v>
      </c>
      <c r="H61" s="60" t="str">
        <f>IF(ISERROR($F61-G61),"-",CONCATENATE((FIXED($F61-G61,4)*10000)," op"))</f>
        <v>9 op</v>
      </c>
    </row>
    <row r="62" spans="2:8" x14ac:dyDescent="0.25">
      <c r="B62" s="50"/>
      <c r="C62" s="21"/>
      <c r="D62" s="21"/>
      <c r="E62" s="21"/>
      <c r="F62" s="59"/>
      <c r="G62" s="59"/>
      <c r="H62" s="60"/>
    </row>
    <row r="63" spans="2:8" ht="17.25" x14ac:dyDescent="0.25">
      <c r="B63" s="68" t="s">
        <v>146</v>
      </c>
      <c r="C63" s="21"/>
      <c r="D63" s="21"/>
      <c r="E63" s="21"/>
      <c r="F63" s="59"/>
      <c r="G63" s="59"/>
      <c r="H63" s="60"/>
    </row>
    <row r="64" spans="2:8" x14ac:dyDescent="0.25">
      <c r="B64" s="50"/>
      <c r="C64" s="21"/>
      <c r="D64" s="21"/>
      <c r="E64" s="21"/>
      <c r="F64" s="59"/>
      <c r="G64" s="59"/>
      <c r="H64" s="60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11</v>
      </c>
    </row>
    <row r="12" spans="2:7" ht="17.25" x14ac:dyDescent="0.3">
      <c r="B12" s="6" t="s">
        <v>12</v>
      </c>
      <c r="F12" s="4"/>
    </row>
    <row r="13" spans="2:7" x14ac:dyDescent="0.25">
      <c r="B13" s="74" t="s">
        <v>13</v>
      </c>
      <c r="F13" s="4"/>
    </row>
    <row r="14" spans="2:7" x14ac:dyDescent="0.25">
      <c r="B14" s="7"/>
      <c r="C14" s="7"/>
      <c r="D14" s="7"/>
      <c r="E14" s="8" t="s">
        <v>9</v>
      </c>
      <c r="F14" s="9" t="s">
        <v>30</v>
      </c>
      <c r="G14" s="9" t="s">
        <v>29</v>
      </c>
    </row>
    <row r="15" spans="2:7" s="5" customFormat="1" x14ac:dyDescent="0.25">
      <c r="B15" s="61" t="s">
        <v>14</v>
      </c>
      <c r="C15" s="61"/>
      <c r="D15" s="61"/>
      <c r="E15" s="47">
        <f>+Balantzea!F39</f>
        <v>57270.014999999999</v>
      </c>
      <c r="F15" s="45">
        <f>+Balantzea!G39</f>
        <v>58098.938999999998</v>
      </c>
      <c r="G15" s="38">
        <f t="shared" ref="G15:G28" si="0">IF(ISERROR($E15/F15),"-",$E15/F15-1)</f>
        <v>-1.4267455039067012E-2</v>
      </c>
    </row>
    <row r="16" spans="2:7" x14ac:dyDescent="0.25">
      <c r="B16" s="1" t="s">
        <v>15</v>
      </c>
      <c r="C16" s="19"/>
      <c r="D16" s="19"/>
      <c r="E16" s="48">
        <v>2712.375</v>
      </c>
      <c r="F16" s="28">
        <v>3404.261</v>
      </c>
      <c r="G16" s="29">
        <f t="shared" si="0"/>
        <v>-0.20324117334129199</v>
      </c>
    </row>
    <row r="17" spans="2:9" x14ac:dyDescent="0.25">
      <c r="B17" s="1" t="s">
        <v>16</v>
      </c>
      <c r="E17" s="48">
        <f>+Balantzea!F18+Balantzea!F21+Balantzea!F24</f>
        <v>1502.7090000000001</v>
      </c>
      <c r="F17" s="28">
        <f>+Balantzea!G18+Balantzea!G21+Balantzea!G24</f>
        <v>2298.817</v>
      </c>
      <c r="G17" s="29">
        <f t="shared" si="0"/>
        <v>-0.34631203788731335</v>
      </c>
    </row>
    <row r="18" spans="2:9" x14ac:dyDescent="0.25">
      <c r="B18" s="1" t="s">
        <v>17</v>
      </c>
      <c r="E18" s="48">
        <f>+Balantzea!F33</f>
        <v>501.53300000000002</v>
      </c>
      <c r="F18" s="28">
        <f>+Balantzea!$G$33</f>
        <v>531.577</v>
      </c>
      <c r="G18" s="29">
        <f t="shared" si="0"/>
        <v>-5.6518622890004644E-2</v>
      </c>
    </row>
    <row r="19" spans="2:9" s="5" customFormat="1" x14ac:dyDescent="0.25">
      <c r="B19" s="5" t="s">
        <v>18</v>
      </c>
      <c r="E19" s="47">
        <f>+Balantzea!F29</f>
        <v>44039.108999999997</v>
      </c>
      <c r="F19" s="45">
        <f>+Balantzea!$G$29</f>
        <v>43661.41</v>
      </c>
      <c r="G19" s="38">
        <f t="shared" si="0"/>
        <v>8.6506367980327958E-3</v>
      </c>
    </row>
    <row r="20" spans="2:9" x14ac:dyDescent="0.25">
      <c r="B20" s="1" t="s">
        <v>19</v>
      </c>
      <c r="E20" s="48">
        <v>3150.2289999999998</v>
      </c>
      <c r="F20" s="28">
        <v>4265.5259999999998</v>
      </c>
      <c r="G20" s="29">
        <f t="shared" si="0"/>
        <v>-0.26146763611334223</v>
      </c>
      <c r="I20" s="12"/>
    </row>
    <row r="21" spans="2:9" s="21" customFormat="1" x14ac:dyDescent="0.25">
      <c r="B21" s="21" t="s">
        <v>20</v>
      </c>
      <c r="E21" s="22">
        <v>0</v>
      </c>
      <c r="F21" s="77">
        <v>40.021999999999998</v>
      </c>
      <c r="G21" s="66">
        <f t="shared" si="0"/>
        <v>-1</v>
      </c>
    </row>
    <row r="22" spans="2:9" x14ac:dyDescent="0.25">
      <c r="B22" s="5" t="s">
        <v>21</v>
      </c>
      <c r="C22" s="5"/>
      <c r="D22" s="5"/>
      <c r="E22" s="47">
        <f>+Balantzea!$F$44</f>
        <v>41362.440999999999</v>
      </c>
      <c r="F22" s="45">
        <f>+Balantzea!$G$44</f>
        <v>41540.951000000001</v>
      </c>
      <c r="G22" s="38">
        <f t="shared" si="0"/>
        <v>-4.297205425075612E-3</v>
      </c>
    </row>
    <row r="23" spans="2:9" s="5" customFormat="1" x14ac:dyDescent="0.25">
      <c r="B23" s="21" t="s">
        <v>22</v>
      </c>
      <c r="C23" s="21"/>
      <c r="D23" s="21"/>
      <c r="E23" s="49">
        <v>1720.24100937</v>
      </c>
      <c r="F23" s="46">
        <v>3329.9266388400001</v>
      </c>
      <c r="G23" s="41">
        <f t="shared" si="0"/>
        <v>-0.48339972739782155</v>
      </c>
    </row>
    <row r="24" spans="2:9" x14ac:dyDescent="0.25">
      <c r="B24" s="54" t="s">
        <v>23</v>
      </c>
      <c r="C24" s="54"/>
      <c r="D24" s="54"/>
      <c r="E24" s="62">
        <f>+E22-E23</f>
        <v>39642.199990629997</v>
      </c>
      <c r="F24" s="63">
        <f>+F22-F23</f>
        <v>38211.024361160002</v>
      </c>
      <c r="G24" s="64">
        <f t="shared" si="0"/>
        <v>3.7454521395263285E-2</v>
      </c>
    </row>
    <row r="25" spans="2:9" s="19" customFormat="1" x14ac:dyDescent="0.25">
      <c r="B25" s="1" t="s">
        <v>24</v>
      </c>
      <c r="C25" s="1"/>
      <c r="D25" s="1"/>
      <c r="E25" s="48">
        <v>18917.485908609993</v>
      </c>
      <c r="F25" s="28">
        <v>17377.838631899991</v>
      </c>
      <c r="G25" s="29">
        <f t="shared" si="0"/>
        <v>8.8598318198427561E-2</v>
      </c>
    </row>
    <row r="26" spans="2:9" x14ac:dyDescent="0.25">
      <c r="B26" s="5" t="s">
        <v>25</v>
      </c>
      <c r="C26" s="5"/>
      <c r="D26" s="5"/>
      <c r="E26" s="47">
        <f>+E24+E25</f>
        <v>58559.685899239994</v>
      </c>
      <c r="F26" s="45">
        <f>+F24+F25</f>
        <v>55588.862993059993</v>
      </c>
      <c r="G26" s="38">
        <f t="shared" si="0"/>
        <v>5.3442771559311986E-2</v>
      </c>
    </row>
    <row r="27" spans="2:9" s="5" customFormat="1" x14ac:dyDescent="0.25">
      <c r="B27" s="1" t="s">
        <v>26</v>
      </c>
      <c r="C27" s="1"/>
      <c r="D27" s="1"/>
      <c r="E27" s="48">
        <v>103696.29289924</v>
      </c>
      <c r="F27" s="28">
        <v>100718.03399306</v>
      </c>
      <c r="G27" s="29">
        <f t="shared" si="0"/>
        <v>2.9570264510774935E-2</v>
      </c>
    </row>
    <row r="28" spans="2:9" x14ac:dyDescent="0.25">
      <c r="B28" s="5" t="s">
        <v>27</v>
      </c>
      <c r="C28" s="5"/>
      <c r="D28" s="5"/>
      <c r="E28" s="47">
        <f>+Balantzea!F53</f>
        <v>5018.741</v>
      </c>
      <c r="F28" s="45">
        <f>+Balantzea!$G$53</f>
        <v>4870.5789999999997</v>
      </c>
      <c r="G28" s="38">
        <f t="shared" si="0"/>
        <v>3.0419791979557242E-2</v>
      </c>
    </row>
    <row r="34" spans="2:7" ht="17.25" x14ac:dyDescent="0.3">
      <c r="B34" s="6" t="s">
        <v>28</v>
      </c>
      <c r="F34" s="4"/>
    </row>
    <row r="35" spans="2:7" x14ac:dyDescent="0.25">
      <c r="B35" s="74" t="s">
        <v>13</v>
      </c>
      <c r="F35" s="4"/>
    </row>
    <row r="36" spans="2:7" x14ac:dyDescent="0.25">
      <c r="B36" s="7"/>
      <c r="C36" s="7"/>
      <c r="D36" s="7"/>
      <c r="E36" s="8" t="s">
        <v>9</v>
      </c>
      <c r="F36" s="9" t="s">
        <v>31</v>
      </c>
      <c r="G36" s="9" t="s">
        <v>29</v>
      </c>
    </row>
    <row r="37" spans="2:7" x14ac:dyDescent="0.25">
      <c r="B37" s="61" t="s">
        <v>14</v>
      </c>
      <c r="C37" s="61"/>
      <c r="D37" s="61"/>
      <c r="E37" s="47">
        <f>+E15</f>
        <v>57270.014999999999</v>
      </c>
      <c r="F37" s="45">
        <f>+Balantzea!I39</f>
        <v>57117.916000000005</v>
      </c>
      <c r="G37" s="38">
        <f t="shared" ref="G37:G50" si="1">IF(ISERROR($E37/F37),"-",$E37/F37-1)</f>
        <v>2.6628947736817565E-3</v>
      </c>
    </row>
    <row r="38" spans="2:7" x14ac:dyDescent="0.25">
      <c r="B38" s="1" t="s">
        <v>15</v>
      </c>
      <c r="C38" s="19"/>
      <c r="D38" s="19"/>
      <c r="E38" s="48">
        <f>+E16</f>
        <v>2712.375</v>
      </c>
      <c r="F38" s="28">
        <v>2461.2559999999999</v>
      </c>
      <c r="G38" s="29">
        <f t="shared" si="1"/>
        <v>0.1020288015549784</v>
      </c>
    </row>
    <row r="39" spans="2:7" x14ac:dyDescent="0.25">
      <c r="B39" s="1" t="s">
        <v>16</v>
      </c>
      <c r="E39" s="48">
        <f t="shared" ref="E39:E50" si="2">+E17</f>
        <v>1502.7090000000001</v>
      </c>
      <c r="F39" s="28">
        <f>+Balantzea!I18+Balantzea!I21+Balantzea!$I$24</f>
        <v>1678.442</v>
      </c>
      <c r="G39" s="29">
        <f t="shared" si="1"/>
        <v>-0.10470007304393003</v>
      </c>
    </row>
    <row r="40" spans="2:7" x14ac:dyDescent="0.25">
      <c r="B40" s="1" t="s">
        <v>17</v>
      </c>
      <c r="E40" s="48">
        <f t="shared" si="2"/>
        <v>501.53300000000002</v>
      </c>
      <c r="F40" s="28">
        <f>+Balantzea!$I$33</f>
        <v>499.01</v>
      </c>
      <c r="G40" s="29">
        <f t="shared" si="1"/>
        <v>5.0560109015851395E-3</v>
      </c>
    </row>
    <row r="41" spans="2:7" x14ac:dyDescent="0.25">
      <c r="B41" s="5" t="s">
        <v>18</v>
      </c>
      <c r="C41" s="5"/>
      <c r="D41" s="5"/>
      <c r="E41" s="47">
        <f t="shared" si="2"/>
        <v>44039.108999999997</v>
      </c>
      <c r="F41" s="45">
        <f>+Balantzea!$I$29</f>
        <v>42169.372000000003</v>
      </c>
      <c r="G41" s="38">
        <f t="shared" si="1"/>
        <v>4.4338744243096473E-2</v>
      </c>
    </row>
    <row r="42" spans="2:7" x14ac:dyDescent="0.25">
      <c r="B42" s="1" t="s">
        <v>19</v>
      </c>
      <c r="E42" s="48">
        <f t="shared" si="2"/>
        <v>3150.2289999999998</v>
      </c>
      <c r="F42" s="28">
        <v>3267.8589999999999</v>
      </c>
      <c r="G42" s="29">
        <f t="shared" si="1"/>
        <v>-3.5996045117001718E-2</v>
      </c>
    </row>
    <row r="43" spans="2:7" s="21" customFormat="1" x14ac:dyDescent="0.25">
      <c r="B43" s="21" t="s">
        <v>20</v>
      </c>
      <c r="E43" s="22">
        <f t="shared" si="2"/>
        <v>0</v>
      </c>
      <c r="F43" s="23">
        <v>0</v>
      </c>
      <c r="G43" s="66" t="str">
        <f t="shared" si="1"/>
        <v>-</v>
      </c>
    </row>
    <row r="44" spans="2:7" x14ac:dyDescent="0.25">
      <c r="B44" s="5" t="s">
        <v>21</v>
      </c>
      <c r="C44" s="5"/>
      <c r="D44" s="5"/>
      <c r="E44" s="47">
        <f t="shared" si="2"/>
        <v>41362.440999999999</v>
      </c>
      <c r="F44" s="45">
        <f>+Balantzea!$I$44</f>
        <v>40880.476000000002</v>
      </c>
      <c r="G44" s="38">
        <f t="shared" si="1"/>
        <v>1.1789613212918493E-2</v>
      </c>
    </row>
    <row r="45" spans="2:7" x14ac:dyDescent="0.25">
      <c r="B45" s="21" t="s">
        <v>22</v>
      </c>
      <c r="C45" s="21"/>
      <c r="D45" s="21"/>
      <c r="E45" s="49">
        <f t="shared" si="2"/>
        <v>1720.24100937</v>
      </c>
      <c r="F45" s="46">
        <v>1881.04996594</v>
      </c>
      <c r="G45" s="41">
        <f t="shared" si="1"/>
        <v>-8.5488934096251024E-2</v>
      </c>
    </row>
    <row r="46" spans="2:7" x14ac:dyDescent="0.25">
      <c r="B46" s="54" t="s">
        <v>23</v>
      </c>
      <c r="C46" s="54"/>
      <c r="D46" s="54"/>
      <c r="E46" s="62">
        <f t="shared" si="2"/>
        <v>39642.199990629997</v>
      </c>
      <c r="F46" s="63">
        <f>+F44-F45</f>
        <v>38999.426034060001</v>
      </c>
      <c r="G46" s="64">
        <f t="shared" si="1"/>
        <v>1.6481626063127974E-2</v>
      </c>
    </row>
    <row r="47" spans="2:7" x14ac:dyDescent="0.25">
      <c r="B47" s="1" t="s">
        <v>24</v>
      </c>
      <c r="E47" s="48">
        <f t="shared" si="2"/>
        <v>18917.485908609993</v>
      </c>
      <c r="F47" s="28">
        <v>17869.002059859999</v>
      </c>
      <c r="G47" s="29">
        <f t="shared" si="1"/>
        <v>5.8676127812713919E-2</v>
      </c>
    </row>
    <row r="48" spans="2:7" x14ac:dyDescent="0.25">
      <c r="B48" s="5" t="s">
        <v>25</v>
      </c>
      <c r="C48" s="5"/>
      <c r="D48" s="5"/>
      <c r="E48" s="47">
        <f t="shared" si="2"/>
        <v>58559.685899239994</v>
      </c>
      <c r="F48" s="45">
        <f>+F46+F47</f>
        <v>56868.428093919996</v>
      </c>
      <c r="G48" s="38">
        <f t="shared" si="1"/>
        <v>2.9739837410783121E-2</v>
      </c>
    </row>
    <row r="49" spans="2:7" x14ac:dyDescent="0.25">
      <c r="B49" s="1" t="s">
        <v>26</v>
      </c>
      <c r="E49" s="48">
        <f t="shared" si="2"/>
        <v>103696.29289924</v>
      </c>
      <c r="F49" s="28">
        <v>100237.90309392</v>
      </c>
      <c r="G49" s="29">
        <f t="shared" si="1"/>
        <v>3.4501817162711168E-2</v>
      </c>
    </row>
    <row r="50" spans="2:7" x14ac:dyDescent="0.25">
      <c r="B50" s="5" t="s">
        <v>27</v>
      </c>
      <c r="C50" s="5"/>
      <c r="D50" s="5"/>
      <c r="E50" s="47">
        <f t="shared" si="2"/>
        <v>5018.741</v>
      </c>
      <c r="F50" s="45">
        <f>+Balantzea!$I$53</f>
        <v>4965.7520000000004</v>
      </c>
      <c r="G50" s="38">
        <f t="shared" si="1"/>
        <v>1.0670891337303923E-2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32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9</v>
      </c>
      <c r="F14" s="9" t="s">
        <v>30</v>
      </c>
      <c r="G14" s="9" t="s">
        <v>29</v>
      </c>
    </row>
    <row r="15" spans="2:7" x14ac:dyDescent="0.25">
      <c r="B15" s="1" t="s">
        <v>0</v>
      </c>
      <c r="E15" s="30">
        <v>5.5208190286580243E-2</v>
      </c>
      <c r="F15" s="31">
        <v>5.0444228588862279E-2</v>
      </c>
      <c r="G15" s="32" t="str">
        <f>IF(ISERROR($E15-F15),"-",CONCATENATE((FIXED($E15-F15,4)*10000)," op"))</f>
        <v>48 op</v>
      </c>
    </row>
    <row r="16" spans="2:7" x14ac:dyDescent="0.25">
      <c r="B16" s="1" t="s">
        <v>3</v>
      </c>
      <c r="E16" s="30">
        <v>5.9407979585016285E-2</v>
      </c>
      <c r="F16" s="31">
        <v>5.4268170728500063E-2</v>
      </c>
      <c r="G16" s="32" t="str">
        <f t="shared" ref="G16:G19" si="0">IF(ISERROR($E16-F16),"-",CONCATENATE((FIXED($E16-F16,4)*10000)," op"))</f>
        <v>51 op</v>
      </c>
    </row>
    <row r="17" spans="2:7" x14ac:dyDescent="0.25">
      <c r="B17" s="1" t="s">
        <v>1</v>
      </c>
      <c r="E17" s="30">
        <v>4.7220544961743428E-3</v>
      </c>
      <c r="F17" s="31">
        <v>4.1207406958604798E-3</v>
      </c>
      <c r="G17" s="32" t="str">
        <f t="shared" si="0"/>
        <v>6 op</v>
      </c>
    </row>
    <row r="18" spans="2:7" x14ac:dyDescent="0.25">
      <c r="B18" s="1" t="s">
        <v>2</v>
      </c>
      <c r="E18" s="30">
        <v>8.8338146746114333E-3</v>
      </c>
      <c r="F18" s="31">
        <v>7.585535622357426E-3</v>
      </c>
      <c r="G18" s="32" t="str">
        <f t="shared" si="0"/>
        <v>12 op</v>
      </c>
    </row>
    <row r="19" spans="2:7" x14ac:dyDescent="0.25">
      <c r="B19" s="1" t="s">
        <v>33</v>
      </c>
      <c r="E19" s="30">
        <v>0.48509245283547248</v>
      </c>
      <c r="F19" s="31">
        <v>0.61259012779883837</v>
      </c>
      <c r="G19" s="32" t="str">
        <f t="shared" si="0"/>
        <v>-1275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28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9</v>
      </c>
      <c r="F30" s="9" t="s">
        <v>31</v>
      </c>
      <c r="G30" s="9" t="s">
        <v>29</v>
      </c>
    </row>
    <row r="31" spans="2:7" x14ac:dyDescent="0.25">
      <c r="B31" s="1" t="s">
        <v>0</v>
      </c>
      <c r="E31" s="30">
        <f>+E15</f>
        <v>5.5208190286580243E-2</v>
      </c>
      <c r="F31" s="31">
        <v>5.3332512636619603E-2</v>
      </c>
      <c r="G31" s="32" t="str">
        <f>IF(ISERROR($E31-F31),"-",CONCATENATE((FIXED($E31-F31,4)*10000)," op"))</f>
        <v>19 op</v>
      </c>
    </row>
    <row r="32" spans="2:7" x14ac:dyDescent="0.25">
      <c r="B32" s="1" t="s">
        <v>3</v>
      </c>
      <c r="E32" s="30">
        <f t="shared" ref="E32:E35" si="1">+E16</f>
        <v>5.9407979585016285E-2</v>
      </c>
      <c r="F32" s="31">
        <v>5.7383402858085367E-2</v>
      </c>
      <c r="G32" s="32" t="str">
        <f t="shared" ref="G32:G35" si="2">IF(ISERROR($E32-F32),"-",CONCATENATE((FIXED($E32-F32,4)*10000)," op"))</f>
        <v>20 op</v>
      </c>
    </row>
    <row r="33" spans="2:7" x14ac:dyDescent="0.25">
      <c r="B33" s="1" t="s">
        <v>1</v>
      </c>
      <c r="E33" s="30">
        <f t="shared" si="1"/>
        <v>4.7220544961743428E-3</v>
      </c>
      <c r="F33" s="31">
        <v>4.5131774166749204E-3</v>
      </c>
      <c r="G33" s="32" t="str">
        <f t="shared" si="2"/>
        <v>2 op</v>
      </c>
    </row>
    <row r="34" spans="2:7" x14ac:dyDescent="0.25">
      <c r="B34" s="1" t="s">
        <v>2</v>
      </c>
      <c r="E34" s="30">
        <f t="shared" si="1"/>
        <v>8.8338146746114333E-3</v>
      </c>
      <c r="F34" s="31">
        <v>8.4419240985074331E-3</v>
      </c>
      <c r="G34" s="32" t="str">
        <f t="shared" si="2"/>
        <v>4 op</v>
      </c>
    </row>
    <row r="35" spans="2:7" x14ac:dyDescent="0.25">
      <c r="B35" s="1" t="s">
        <v>33</v>
      </c>
      <c r="E35" s="30">
        <f t="shared" si="1"/>
        <v>0.48509245283547248</v>
      </c>
      <c r="F35" s="31">
        <v>0.50887837433428551</v>
      </c>
      <c r="G35" s="32" t="str">
        <f t="shared" si="2"/>
        <v>-238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34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9</v>
      </c>
      <c r="F14" s="9" t="s">
        <v>30</v>
      </c>
      <c r="G14" s="9" t="s">
        <v>29</v>
      </c>
    </row>
    <row r="15" spans="2:7" x14ac:dyDescent="0.25">
      <c r="B15" s="1" t="s">
        <v>35</v>
      </c>
      <c r="E15" s="30">
        <f>+Kaudimena!F26</f>
        <v>0.15178224323694159</v>
      </c>
      <c r="F15" s="31">
        <f>+Kaudimena!G26</f>
        <v>0.14812388236203469</v>
      </c>
      <c r="G15" s="32" t="str">
        <f>IF(ISERROR($E15-F15),"-",CONCATENATE((FIXED($E15-F15,4)*10000)," op"))</f>
        <v>37 op</v>
      </c>
    </row>
    <row r="16" spans="2:7" x14ac:dyDescent="0.25">
      <c r="B16" s="1" t="s">
        <v>36</v>
      </c>
      <c r="E16" s="30">
        <f>+Kaudimena!F27</f>
        <v>0.15178224323694159</v>
      </c>
      <c r="F16" s="31">
        <f>+Kaudimena!G27</f>
        <v>0.14812388236203469</v>
      </c>
      <c r="G16" s="32" t="str">
        <f t="shared" ref="G16:G23" si="0">IF(ISERROR($E16-F16),"-",CONCATENATE((FIXED($E16-F16,4)*10000)," op"))</f>
        <v>37 op</v>
      </c>
    </row>
    <row r="17" spans="2:7" x14ac:dyDescent="0.25">
      <c r="B17" s="1" t="s">
        <v>37</v>
      </c>
      <c r="E17" s="30">
        <f>+Kaudimena!F28</f>
        <v>0.15178224323694159</v>
      </c>
      <c r="F17" s="31">
        <f>+Kaudimena!G28</f>
        <v>0.1491837537598551</v>
      </c>
      <c r="G17" s="32" t="str">
        <f t="shared" si="0"/>
        <v>26 op</v>
      </c>
    </row>
    <row r="18" spans="2:7" x14ac:dyDescent="0.25">
      <c r="B18" s="1" t="s">
        <v>38</v>
      </c>
      <c r="E18" s="30">
        <f>+Kaudimena!F29</f>
        <v>8.0429995264640661E-2</v>
      </c>
      <c r="F18" s="31">
        <f>+Kaudimena!G29</f>
        <v>7.8049022653611771E-2</v>
      </c>
      <c r="G18" s="32" t="str">
        <f t="shared" si="0"/>
        <v>24 op</v>
      </c>
    </row>
    <row r="19" spans="2:7" s="21" customFormat="1" x14ac:dyDescent="0.25">
      <c r="B19" s="21" t="s">
        <v>7</v>
      </c>
      <c r="E19" s="58">
        <f>+Kaudimena!F31</f>
        <v>0.14824736290360591</v>
      </c>
      <c r="F19" s="59">
        <f>+Kaudimena!G31</f>
        <v>0.14169277130134303</v>
      </c>
      <c r="G19" s="32" t="str">
        <f t="shared" si="0"/>
        <v>66 op</v>
      </c>
    </row>
    <row r="20" spans="2:7" s="21" customFormat="1" x14ac:dyDescent="0.25">
      <c r="B20" s="21" t="s">
        <v>39</v>
      </c>
      <c r="E20" s="58">
        <f>+Kaudimena!F33</f>
        <v>7.8927927272805967E-2</v>
      </c>
      <c r="F20" s="59">
        <f>+Kaudimena!G33</f>
        <v>7.5276130899928462E-2</v>
      </c>
      <c r="G20" s="32" t="str">
        <f t="shared" si="0"/>
        <v>37 op</v>
      </c>
    </row>
    <row r="21" spans="2:7" x14ac:dyDescent="0.25">
      <c r="B21" s="1" t="s">
        <v>4</v>
      </c>
      <c r="E21" s="30">
        <v>1.62903112084373</v>
      </c>
      <c r="F21" s="31">
        <v>1.6871256913233783</v>
      </c>
      <c r="G21" s="32" t="str">
        <f t="shared" si="0"/>
        <v>-581 op</v>
      </c>
    </row>
    <row r="22" spans="2:7" x14ac:dyDescent="0.25">
      <c r="B22" s="1" t="s">
        <v>5</v>
      </c>
      <c r="E22" s="79">
        <v>1.1738449428726645</v>
      </c>
      <c r="F22" s="31">
        <v>1.1336775833166137</v>
      </c>
      <c r="G22" s="32" t="str">
        <f t="shared" si="0"/>
        <v>402 op</v>
      </c>
    </row>
    <row r="23" spans="2:7" x14ac:dyDescent="0.25">
      <c r="B23" s="1" t="s">
        <v>8</v>
      </c>
      <c r="E23" s="30">
        <v>1.1041662916169794</v>
      </c>
      <c r="F23" s="31">
        <v>1.13334923371105</v>
      </c>
      <c r="G23" s="32" t="str">
        <f t="shared" si="0"/>
        <v>-292 op</v>
      </c>
    </row>
    <row r="29" spans="2:7" ht="17.25" x14ac:dyDescent="0.3">
      <c r="B29" s="6" t="s">
        <v>28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9</v>
      </c>
      <c r="F31" s="9" t="s">
        <v>31</v>
      </c>
      <c r="G31" s="9" t="s">
        <v>29</v>
      </c>
    </row>
    <row r="32" spans="2:7" x14ac:dyDescent="0.25">
      <c r="B32" s="1" t="s">
        <v>35</v>
      </c>
      <c r="E32" s="30">
        <f t="shared" ref="E32:E40" si="1">+E15</f>
        <v>0.15178224323694159</v>
      </c>
      <c r="F32" s="31">
        <f>+Kaudimena!G54</f>
        <v>0.15219134328105283</v>
      </c>
      <c r="G32" s="32" t="str">
        <f>IF(ISERROR($E32-F32),"-",CONCATENATE((FIXED($E32-F32,4)*10000)," op"))</f>
        <v>-4 op</v>
      </c>
    </row>
    <row r="33" spans="2:10" x14ac:dyDescent="0.25">
      <c r="B33" s="1" t="s">
        <v>36</v>
      </c>
      <c r="E33" s="30">
        <f t="shared" si="1"/>
        <v>0.15178224323694159</v>
      </c>
      <c r="F33" s="31">
        <f>+Kaudimena!G55</f>
        <v>0.15219134328105283</v>
      </c>
      <c r="G33" s="32" t="str">
        <f t="shared" ref="G33:G40" si="2">IF(ISERROR($E33-F33),"-",CONCATENATE((FIXED($E33-F33,4)*10000)," op"))</f>
        <v>-4 op</v>
      </c>
    </row>
    <row r="34" spans="2:10" x14ac:dyDescent="0.25">
      <c r="B34" s="1" t="s">
        <v>37</v>
      </c>
      <c r="E34" s="30">
        <f t="shared" si="1"/>
        <v>0.15178224323694159</v>
      </c>
      <c r="F34" s="31">
        <f>+Kaudimena!G56</f>
        <v>0.15219134328105283</v>
      </c>
      <c r="G34" s="32" t="str">
        <f t="shared" si="2"/>
        <v>-4 op</v>
      </c>
    </row>
    <row r="35" spans="2:10" s="21" customFormat="1" x14ac:dyDescent="0.25">
      <c r="B35" s="1" t="s">
        <v>38</v>
      </c>
      <c r="C35" s="1"/>
      <c r="D35" s="1"/>
      <c r="E35" s="30">
        <f t="shared" si="1"/>
        <v>8.0429995264640661E-2</v>
      </c>
      <c r="F35" s="31">
        <f>+Kaudimena!G57</f>
        <v>7.9572787269512862E-2</v>
      </c>
      <c r="G35" s="32" t="str">
        <f t="shared" si="2"/>
        <v>9 op</v>
      </c>
    </row>
    <row r="36" spans="2:10" s="21" customFormat="1" x14ac:dyDescent="0.25">
      <c r="B36" s="21" t="s">
        <v>7</v>
      </c>
      <c r="E36" s="58">
        <f t="shared" si="1"/>
        <v>0.14824736290360591</v>
      </c>
      <c r="F36" s="59">
        <f>+Kaudimena!G59</f>
        <v>0.14846394676583535</v>
      </c>
      <c r="G36" s="32" t="str">
        <f t="shared" si="2"/>
        <v>-2 op</v>
      </c>
    </row>
    <row r="37" spans="2:10" x14ac:dyDescent="0.25">
      <c r="B37" s="21" t="s">
        <v>39</v>
      </c>
      <c r="C37" s="21"/>
      <c r="D37" s="21"/>
      <c r="E37" s="58">
        <f t="shared" si="1"/>
        <v>7.8927927272805967E-2</v>
      </c>
      <c r="F37" s="59">
        <f>+Kaudimena!G61</f>
        <v>7.8003932915517687E-2</v>
      </c>
      <c r="G37" s="32" t="str">
        <f t="shared" si="2"/>
        <v>9 op</v>
      </c>
    </row>
    <row r="38" spans="2:10" x14ac:dyDescent="0.25">
      <c r="B38" s="1" t="s">
        <v>4</v>
      </c>
      <c r="E38" s="30">
        <f t="shared" si="1"/>
        <v>1.62903112084373</v>
      </c>
      <c r="F38" s="31">
        <v>1.7991494912947084</v>
      </c>
      <c r="G38" s="32" t="str">
        <f t="shared" si="2"/>
        <v>-1701 op</v>
      </c>
      <c r="J38" s="80"/>
    </row>
    <row r="39" spans="2:10" x14ac:dyDescent="0.25">
      <c r="B39" s="1" t="s">
        <v>5</v>
      </c>
      <c r="E39" s="30">
        <f t="shared" si="1"/>
        <v>1.1738449428726645</v>
      </c>
      <c r="F39" s="31">
        <v>1.1678198492143967</v>
      </c>
      <c r="G39" s="32" t="str">
        <f t="shared" si="2"/>
        <v>60 op</v>
      </c>
    </row>
    <row r="40" spans="2:10" x14ac:dyDescent="0.25">
      <c r="B40" s="1" t="s">
        <v>8</v>
      </c>
      <c r="E40" s="30">
        <f t="shared" si="1"/>
        <v>1.1041662916169794</v>
      </c>
      <c r="F40" s="31">
        <v>1.0733665733282052</v>
      </c>
      <c r="G40" s="32" t="str">
        <f t="shared" si="2"/>
        <v>308 op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40</v>
      </c>
    </row>
    <row r="12" spans="2:9" ht="17.25" x14ac:dyDescent="0.3">
      <c r="B12" s="6" t="s">
        <v>12</v>
      </c>
      <c r="F12" s="4"/>
    </row>
    <row r="13" spans="2:9" x14ac:dyDescent="0.25">
      <c r="B13" s="75" t="s">
        <v>41</v>
      </c>
      <c r="F13" s="4"/>
    </row>
    <row r="14" spans="2:9" x14ac:dyDescent="0.25">
      <c r="B14" s="7"/>
      <c r="C14" s="7"/>
      <c r="D14" s="7"/>
      <c r="E14" s="8" t="s">
        <v>9</v>
      </c>
      <c r="F14" s="9" t="s">
        <v>30</v>
      </c>
      <c r="G14" s="9" t="s">
        <v>29</v>
      </c>
    </row>
    <row r="15" spans="2:9" x14ac:dyDescent="0.25">
      <c r="B15" s="1" t="s">
        <v>42</v>
      </c>
      <c r="E15" s="33">
        <v>5689</v>
      </c>
      <c r="F15" s="34">
        <v>5992</v>
      </c>
      <c r="G15" s="35">
        <f>IF(ISERROR($E15/F15),"-",$E15/F15-1)</f>
        <v>-5.0567423230974629E-2</v>
      </c>
      <c r="H15" s="12"/>
      <c r="I15" s="12"/>
    </row>
    <row r="16" spans="2:9" x14ac:dyDescent="0.25">
      <c r="B16" s="1" t="s">
        <v>43</v>
      </c>
      <c r="E16" s="33">
        <v>934</v>
      </c>
      <c r="F16" s="34">
        <v>969</v>
      </c>
      <c r="G16" s="35">
        <f t="shared" ref="G16:G20" si="0">IF(ISERROR($E16/F16),"-",$E16/F16-1)</f>
        <v>-3.6119711042311708E-2</v>
      </c>
      <c r="H16" s="12"/>
      <c r="I16" s="12"/>
    </row>
    <row r="17" spans="2:9" x14ac:dyDescent="0.25">
      <c r="B17" s="1" t="s">
        <v>44</v>
      </c>
      <c r="E17" s="33">
        <v>2614691</v>
      </c>
      <c r="F17" s="34">
        <v>2702355</v>
      </c>
      <c r="G17" s="35">
        <f t="shared" si="0"/>
        <v>-3.2439853387138284E-2</v>
      </c>
      <c r="H17" s="12"/>
      <c r="I17" s="12"/>
    </row>
    <row r="18" spans="2:9" x14ac:dyDescent="0.25">
      <c r="B18" s="1" t="s">
        <v>45</v>
      </c>
      <c r="E18" s="33">
        <v>2464985</v>
      </c>
      <c r="F18" s="34">
        <v>2548305</v>
      </c>
      <c r="G18" s="35">
        <f t="shared" si="0"/>
        <v>-3.2696243189100249E-2</v>
      </c>
      <c r="H18" s="12"/>
      <c r="I18" s="12"/>
    </row>
    <row r="19" spans="2:9" x14ac:dyDescent="0.25">
      <c r="B19" s="1" t="s">
        <v>46</v>
      </c>
      <c r="E19" s="33">
        <v>149706</v>
      </c>
      <c r="F19" s="34">
        <v>154050</v>
      </c>
      <c r="G19" s="35">
        <f t="shared" si="0"/>
        <v>-2.8198636806231692E-2</v>
      </c>
      <c r="H19" s="12"/>
      <c r="I19" s="12"/>
    </row>
    <row r="20" spans="2:9" x14ac:dyDescent="0.25">
      <c r="B20" s="1" t="s">
        <v>47</v>
      </c>
      <c r="E20" s="33">
        <v>1981</v>
      </c>
      <c r="F20" s="34">
        <v>2008</v>
      </c>
      <c r="G20" s="35">
        <f t="shared" si="0"/>
        <v>-1.3446215139442219E-2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28</v>
      </c>
      <c r="F28" s="4"/>
      <c r="H28" s="12"/>
      <c r="I28" s="12"/>
    </row>
    <row r="29" spans="2:9" x14ac:dyDescent="0.25">
      <c r="B29" s="75" t="s">
        <v>41</v>
      </c>
      <c r="F29" s="4"/>
      <c r="H29" s="12"/>
      <c r="I29" s="12"/>
    </row>
    <row r="30" spans="2:9" x14ac:dyDescent="0.25">
      <c r="B30" s="7"/>
      <c r="C30" s="7"/>
      <c r="D30" s="7"/>
      <c r="E30" s="8" t="s">
        <v>9</v>
      </c>
      <c r="F30" s="9" t="s">
        <v>31</v>
      </c>
      <c r="G30" s="9" t="s">
        <v>29</v>
      </c>
      <c r="H30" s="12"/>
      <c r="I30" s="12"/>
    </row>
    <row r="31" spans="2:9" x14ac:dyDescent="0.25">
      <c r="B31" s="1" t="s">
        <v>42</v>
      </c>
      <c r="E31" s="33">
        <f>+E15</f>
        <v>5689</v>
      </c>
      <c r="F31" s="34">
        <v>5937</v>
      </c>
      <c r="G31" s="35">
        <f>IF(ISERROR($E31/F31),"-",$E31/F31-1)</f>
        <v>-4.1771938689573851E-2</v>
      </c>
      <c r="H31" s="12"/>
      <c r="I31" s="12"/>
    </row>
    <row r="32" spans="2:9" x14ac:dyDescent="0.25">
      <c r="B32" s="1" t="s">
        <v>43</v>
      </c>
      <c r="E32" s="33">
        <f t="shared" ref="E32:E36" si="1">+E16</f>
        <v>934</v>
      </c>
      <c r="F32" s="34">
        <v>936</v>
      </c>
      <c r="G32" s="35">
        <f t="shared" ref="G32:G36" si="2">IF(ISERROR($E32/F32),"-",$E32/F32-1)</f>
        <v>-2.1367521367521292E-3</v>
      </c>
      <c r="H32" s="12"/>
      <c r="I32" s="12"/>
    </row>
    <row r="33" spans="2:9" x14ac:dyDescent="0.25">
      <c r="B33" s="1" t="s">
        <v>44</v>
      </c>
      <c r="E33" s="33">
        <f t="shared" si="1"/>
        <v>2614691</v>
      </c>
      <c r="F33" s="34">
        <v>2632495</v>
      </c>
      <c r="G33" s="35">
        <f t="shared" si="2"/>
        <v>-6.7631657420051949E-3</v>
      </c>
      <c r="H33" s="12"/>
      <c r="I33" s="12"/>
    </row>
    <row r="34" spans="2:9" x14ac:dyDescent="0.25">
      <c r="B34" s="1" t="s">
        <v>45</v>
      </c>
      <c r="E34" s="33">
        <f t="shared" si="1"/>
        <v>2464985</v>
      </c>
      <c r="F34" s="34">
        <v>2481693</v>
      </c>
      <c r="G34" s="35">
        <f t="shared" si="2"/>
        <v>-6.7325007565399719E-3</v>
      </c>
      <c r="H34" s="12"/>
      <c r="I34" s="12"/>
    </row>
    <row r="35" spans="2:9" x14ac:dyDescent="0.25">
      <c r="B35" s="1" t="s">
        <v>46</v>
      </c>
      <c r="E35" s="33">
        <f t="shared" si="1"/>
        <v>149706</v>
      </c>
      <c r="F35" s="34">
        <v>150802</v>
      </c>
      <c r="G35" s="35">
        <f t="shared" si="2"/>
        <v>-7.2678081192557586E-3</v>
      </c>
      <c r="H35" s="12"/>
      <c r="I35" s="12"/>
    </row>
    <row r="36" spans="2:9" x14ac:dyDescent="0.25">
      <c r="B36" s="1" t="s">
        <v>47</v>
      </c>
      <c r="E36" s="33">
        <f t="shared" si="1"/>
        <v>1981</v>
      </c>
      <c r="F36" s="34">
        <v>1987</v>
      </c>
      <c r="G36" s="35">
        <f t="shared" si="2"/>
        <v>-3.0196275792652161E-3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13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9</v>
      </c>
      <c r="I14" s="9" t="s">
        <v>30</v>
      </c>
      <c r="J14" s="9" t="s">
        <v>29</v>
      </c>
    </row>
    <row r="15" spans="2:10" x14ac:dyDescent="0.25">
      <c r="B15" s="5" t="s">
        <v>49</v>
      </c>
      <c r="C15" s="5"/>
      <c r="D15" s="5"/>
      <c r="E15" s="5"/>
      <c r="F15" s="5"/>
      <c r="G15" s="5"/>
      <c r="H15" s="17">
        <v>276.35399999999998</v>
      </c>
      <c r="I15" s="37">
        <v>287.39600000000002</v>
      </c>
      <c r="J15" s="38">
        <f>IF(ISERROR($H15/I15),"-",$H15/I15-1)</f>
        <v>-3.8420854848362662E-2</v>
      </c>
    </row>
    <row r="16" spans="2:10" x14ac:dyDescent="0.25">
      <c r="B16" s="1" t="s">
        <v>50</v>
      </c>
      <c r="H16" s="20">
        <v>30.856999999999999</v>
      </c>
      <c r="I16" s="11">
        <v>54.997</v>
      </c>
      <c r="J16" s="35">
        <f t="shared" ref="J16:J40" si="0">IF(ISERROR($H16/I16),"-",$H16/I16-1)</f>
        <v>-0.43893303271087514</v>
      </c>
    </row>
    <row r="17" spans="2:11" x14ac:dyDescent="0.25">
      <c r="B17" s="1" t="s">
        <v>51</v>
      </c>
      <c r="H17" s="20">
        <v>7.9059999999999997</v>
      </c>
      <c r="I17" s="11">
        <v>31.766999999999999</v>
      </c>
      <c r="J17" s="35">
        <f t="shared" si="0"/>
        <v>-0.75112538168539678</v>
      </c>
    </row>
    <row r="18" spans="2:11" x14ac:dyDescent="0.25">
      <c r="B18" s="5" t="s">
        <v>52</v>
      </c>
      <c r="C18" s="5"/>
      <c r="D18" s="5"/>
      <c r="E18" s="5"/>
      <c r="F18" s="5"/>
      <c r="G18" s="5"/>
      <c r="H18" s="17">
        <v>185.46600000000001</v>
      </c>
      <c r="I18" s="37">
        <v>172.18199999999999</v>
      </c>
      <c r="J18" s="38">
        <f t="shared" si="0"/>
        <v>7.7150921699132402E-2</v>
      </c>
    </row>
    <row r="19" spans="2:11" x14ac:dyDescent="0.25">
      <c r="B19" s="1" t="s">
        <v>53</v>
      </c>
      <c r="H19" s="20">
        <v>242.42500000000001</v>
      </c>
      <c r="I19" s="11">
        <v>26.393999999999998</v>
      </c>
      <c r="J19" s="29" t="s">
        <v>76</v>
      </c>
    </row>
    <row r="20" spans="2:11" x14ac:dyDescent="0.25">
      <c r="B20" s="1" t="s">
        <v>54</v>
      </c>
      <c r="H20" s="20">
        <v>1.337</v>
      </c>
      <c r="I20" s="11">
        <v>1.958</v>
      </c>
      <c r="J20" s="35">
        <f t="shared" si="0"/>
        <v>-0.31716036772216549</v>
      </c>
    </row>
    <row r="21" spans="2:11" x14ac:dyDescent="0.25">
      <c r="B21" t="s">
        <v>55</v>
      </c>
      <c r="H21" s="20">
        <v>37.853999999999999</v>
      </c>
      <c r="I21" s="11">
        <v>35.525000000000006</v>
      </c>
      <c r="J21" s="35">
        <f t="shared" si="0"/>
        <v>6.5559465165376363E-2</v>
      </c>
    </row>
    <row r="22" spans="2:11" ht="17.25" x14ac:dyDescent="0.3">
      <c r="B22" s="6" t="s">
        <v>56</v>
      </c>
      <c r="C22" s="6"/>
      <c r="D22" s="6"/>
      <c r="E22" s="6"/>
      <c r="F22" s="6"/>
      <c r="G22" s="6"/>
      <c r="H22" s="18">
        <f>SUM(H15:H21)</f>
        <v>782.19900000000007</v>
      </c>
      <c r="I22" s="27">
        <f>SUM(I15:I21)</f>
        <v>610.21899999999994</v>
      </c>
      <c r="J22" s="39">
        <f t="shared" si="0"/>
        <v>0.28183324347488381</v>
      </c>
      <c r="K22" s="12"/>
    </row>
    <row r="23" spans="2:11" x14ac:dyDescent="0.25">
      <c r="B23" s="19" t="s">
        <v>57</v>
      </c>
      <c r="C23" s="19"/>
      <c r="D23" s="19"/>
      <c r="E23" s="19"/>
      <c r="F23" s="19"/>
      <c r="G23" s="19"/>
      <c r="H23" s="20">
        <f>+H24+H25</f>
        <v>318.21000000000004</v>
      </c>
      <c r="I23" s="11">
        <f>+I24+I25</f>
        <v>328.94799999999998</v>
      </c>
      <c r="J23" s="35">
        <f t="shared" si="0"/>
        <v>-3.2643457324561753E-2</v>
      </c>
    </row>
    <row r="24" spans="2:11" s="21" customFormat="1" x14ac:dyDescent="0.25">
      <c r="B24" s="21" t="s">
        <v>58</v>
      </c>
      <c r="H24" s="22">
        <v>221.30500000000001</v>
      </c>
      <c r="I24" s="23">
        <v>231.15100000000001</v>
      </c>
      <c r="J24" s="35">
        <f t="shared" si="0"/>
        <v>-4.2595532790253965E-2</v>
      </c>
    </row>
    <row r="25" spans="2:11" s="21" customFormat="1" x14ac:dyDescent="0.25">
      <c r="B25" s="21" t="s">
        <v>59</v>
      </c>
      <c r="H25" s="22">
        <v>96.905000000000001</v>
      </c>
      <c r="I25" s="23">
        <v>97.796999999999997</v>
      </c>
      <c r="J25" s="35">
        <f t="shared" si="0"/>
        <v>-9.1209341799850518E-3</v>
      </c>
    </row>
    <row r="26" spans="2:11" x14ac:dyDescent="0.25">
      <c r="B26" s="1" t="s">
        <v>60</v>
      </c>
      <c r="H26" s="20">
        <v>25.545999999999999</v>
      </c>
      <c r="I26" s="11">
        <v>26.491</v>
      </c>
      <c r="J26" s="35">
        <f t="shared" si="0"/>
        <v>-3.5672492544637779E-2</v>
      </c>
    </row>
    <row r="27" spans="2:11" ht="17.25" x14ac:dyDescent="0.3">
      <c r="B27" s="6" t="s">
        <v>61</v>
      </c>
      <c r="C27" s="6"/>
      <c r="D27" s="6"/>
      <c r="E27" s="6"/>
      <c r="F27" s="6"/>
      <c r="G27" s="6"/>
      <c r="H27" s="18">
        <f>+H22-H23-H26</f>
        <v>438.44300000000004</v>
      </c>
      <c r="I27" s="27">
        <f>+I22-I23-I26</f>
        <v>254.77999999999997</v>
      </c>
      <c r="J27" s="39">
        <f t="shared" si="0"/>
        <v>0.72086898500667274</v>
      </c>
    </row>
    <row r="28" spans="2:11" x14ac:dyDescent="0.25">
      <c r="B28" s="1" t="s">
        <v>62</v>
      </c>
      <c r="H28" s="20">
        <v>61.493000000000002</v>
      </c>
      <c r="I28" s="11">
        <v>24.46</v>
      </c>
      <c r="J28" s="35">
        <f t="shared" si="0"/>
        <v>1.5140228945216681</v>
      </c>
    </row>
    <row r="29" spans="2:11" x14ac:dyDescent="0.25">
      <c r="B29" s="1" t="s">
        <v>63</v>
      </c>
      <c r="H29" s="20">
        <f>+H30+H31</f>
        <v>154.46100000000001</v>
      </c>
      <c r="I29" s="25">
        <f>+I30+I31</f>
        <v>63.234999999999999</v>
      </c>
      <c r="J29" s="35">
        <f t="shared" si="0"/>
        <v>1.442650430932237</v>
      </c>
    </row>
    <row r="30" spans="2:11" s="21" customFormat="1" x14ac:dyDescent="0.25">
      <c r="B30" s="21" t="s">
        <v>64</v>
      </c>
      <c r="H30" s="22">
        <v>97.742000000000004</v>
      </c>
      <c r="I30" s="23">
        <v>52.582000000000001</v>
      </c>
      <c r="J30" s="35">
        <f t="shared" si="0"/>
        <v>0.85884903579171579</v>
      </c>
    </row>
    <row r="31" spans="2:11" s="21" customFormat="1" x14ac:dyDescent="0.25">
      <c r="B31" s="21" t="s">
        <v>65</v>
      </c>
      <c r="H31" s="22">
        <v>56.719000000000001</v>
      </c>
      <c r="I31" s="23">
        <v>10.653</v>
      </c>
      <c r="J31" s="29" t="s">
        <v>76</v>
      </c>
    </row>
    <row r="32" spans="2:11" x14ac:dyDescent="0.25">
      <c r="B32" s="5" t="s">
        <v>66</v>
      </c>
      <c r="C32" s="5"/>
      <c r="D32" s="5"/>
      <c r="E32" s="5"/>
      <c r="F32" s="5"/>
      <c r="G32" s="5"/>
      <c r="H32" s="17">
        <f>+H27-H28-H29</f>
        <v>222.48900000000003</v>
      </c>
      <c r="I32" s="37">
        <f>+I27-I28-I29</f>
        <v>167.08499999999998</v>
      </c>
      <c r="J32" s="76">
        <f t="shared" si="0"/>
        <v>0.33159170482089984</v>
      </c>
    </row>
    <row r="33" spans="2:10" x14ac:dyDescent="0.25">
      <c r="B33" s="1" t="s">
        <v>67</v>
      </c>
      <c r="H33" s="20">
        <v>2.6560000000000001</v>
      </c>
      <c r="I33" s="11">
        <v>0</v>
      </c>
      <c r="J33" s="29" t="s">
        <v>76</v>
      </c>
    </row>
    <row r="34" spans="2:10" x14ac:dyDescent="0.25">
      <c r="B34" s="1" t="s">
        <v>68</v>
      </c>
      <c r="H34" s="20">
        <v>26.506</v>
      </c>
      <c r="I34" s="11">
        <v>6.2130000000000001</v>
      </c>
      <c r="J34" s="29" t="s">
        <v>76</v>
      </c>
    </row>
    <row r="35" spans="2:10" x14ac:dyDescent="0.25">
      <c r="B35" s="1" t="s">
        <v>69</v>
      </c>
      <c r="H35" s="20">
        <v>4.74</v>
      </c>
      <c r="I35" s="11">
        <v>5.6760000000000002</v>
      </c>
      <c r="J35" s="35">
        <f t="shared" si="0"/>
        <v>-0.16490486257928116</v>
      </c>
    </row>
    <row r="36" spans="2:10" x14ac:dyDescent="0.25">
      <c r="B36" s="1" t="s">
        <v>70</v>
      </c>
      <c r="H36" s="20">
        <v>-58.143999999999998</v>
      </c>
      <c r="I36" s="11">
        <v>-11.134</v>
      </c>
      <c r="J36" s="29" t="s">
        <v>76</v>
      </c>
    </row>
    <row r="37" spans="2:10" ht="17.25" x14ac:dyDescent="0.3">
      <c r="B37" s="6" t="s">
        <v>71</v>
      </c>
      <c r="C37" s="6"/>
      <c r="D37" s="6"/>
      <c r="E37" s="6"/>
      <c r="F37" s="6"/>
      <c r="G37" s="6"/>
      <c r="H37" s="18">
        <f>+H32-H33-H34+H35+H36</f>
        <v>139.92300000000003</v>
      </c>
      <c r="I37" s="27">
        <f>+I32-I33-I34+I35+I36</f>
        <v>155.41399999999999</v>
      </c>
      <c r="J37" s="39">
        <f t="shared" si="0"/>
        <v>-9.9675704891450945E-2</v>
      </c>
    </row>
    <row r="38" spans="2:10" x14ac:dyDescent="0.25">
      <c r="B38" s="1" t="s">
        <v>72</v>
      </c>
      <c r="H38" s="20">
        <v>-30.88</v>
      </c>
      <c r="I38" s="11">
        <v>10.977</v>
      </c>
      <c r="J38" s="29" t="s">
        <v>76</v>
      </c>
    </row>
    <row r="39" spans="2:10" x14ac:dyDescent="0.25">
      <c r="B39" s="5" t="s">
        <v>73</v>
      </c>
      <c r="C39" s="5"/>
      <c r="D39" s="5"/>
      <c r="E39" s="5"/>
      <c r="F39" s="5"/>
      <c r="G39" s="5"/>
      <c r="H39" s="17">
        <v>170.803</v>
      </c>
      <c r="I39" s="37">
        <v>144.43700000000001</v>
      </c>
      <c r="J39" s="35">
        <f t="shared" si="0"/>
        <v>0.1825432541523293</v>
      </c>
    </row>
    <row r="40" spans="2:10" x14ac:dyDescent="0.25">
      <c r="B40" s="1" t="s">
        <v>74</v>
      </c>
      <c r="H40" s="10">
        <v>0.60799999999999998</v>
      </c>
      <c r="I40" s="11">
        <v>0.27700000000000002</v>
      </c>
      <c r="J40" s="35">
        <f t="shared" si="0"/>
        <v>1.1949458483754509</v>
      </c>
    </row>
    <row r="41" spans="2:10" s="24" customFormat="1" ht="17.25" x14ac:dyDescent="0.3">
      <c r="B41" s="6" t="s">
        <v>75</v>
      </c>
      <c r="C41" s="6"/>
      <c r="D41" s="6"/>
      <c r="E41" s="6"/>
      <c r="F41" s="6"/>
      <c r="G41" s="6"/>
      <c r="H41" s="18">
        <v>170.19499999999999</v>
      </c>
      <c r="I41" s="27">
        <v>144.16</v>
      </c>
      <c r="J41" s="39">
        <f>IF(ISERROR($H41/I41),"-",$H41/I41-1)</f>
        <v>0.18059794672586005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77</v>
      </c>
    </row>
    <row r="10" spans="2:11" x14ac:dyDescent="0.25">
      <c r="B10" s="74" t="s">
        <v>13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">
        <v>9</v>
      </c>
      <c r="G14" s="9" t="s">
        <v>30</v>
      </c>
      <c r="H14" s="9" t="s">
        <v>29</v>
      </c>
      <c r="I14" s="9" t="s">
        <v>31</v>
      </c>
      <c r="J14" s="9" t="s">
        <v>29</v>
      </c>
    </row>
    <row r="15" spans="2:11" s="19" customFormat="1" x14ac:dyDescent="0.25">
      <c r="B15" s="19" t="s">
        <v>78</v>
      </c>
      <c r="F15" s="20">
        <v>1982.3109999999999</v>
      </c>
      <c r="G15" s="25">
        <v>703.99699999999996</v>
      </c>
      <c r="H15" s="35">
        <f>IF(ISERROR($F15/G15),"-",$F15/G15-1)</f>
        <v>1.8157946695795579</v>
      </c>
      <c r="I15" s="25">
        <v>851.94399999999996</v>
      </c>
      <c r="J15" s="35">
        <f>IF(ISERROR($F15/I15),"-",$F15/I15-1)</f>
        <v>1.3268090390917715</v>
      </c>
      <c r="K15" s="25"/>
    </row>
    <row r="16" spans="2:11" s="19" customFormat="1" x14ac:dyDescent="0.25">
      <c r="B16" s="19" t="s">
        <v>79</v>
      </c>
      <c r="F16" s="20">
        <f>+F17+F18+F19</f>
        <v>99.32</v>
      </c>
      <c r="G16" s="25">
        <f>+G17+G18+G19</f>
        <v>158.66299999999998</v>
      </c>
      <c r="H16" s="35">
        <f t="shared" ref="H16:H57" si="0">IF(ISERROR($F16/G16),"-",$F16/G16-1)</f>
        <v>-0.37401914750130782</v>
      </c>
      <c r="I16" s="25">
        <f>+I17+I18+I19</f>
        <v>134.03200000000001</v>
      </c>
      <c r="J16" s="35">
        <f t="shared" ref="J16:J57" si="1">IF(ISERROR($F16/I16),"-",$F16/I16-1)</f>
        <v>-0.25898292944968382</v>
      </c>
      <c r="K16" s="25"/>
    </row>
    <row r="17" spans="2:11" s="21" customFormat="1" x14ac:dyDescent="0.25">
      <c r="B17" s="21" t="s">
        <v>80</v>
      </c>
      <c r="F17" s="22">
        <v>96.846999999999994</v>
      </c>
      <c r="G17" s="23">
        <v>156.61099999999999</v>
      </c>
      <c r="H17" s="41">
        <f t="shared" si="0"/>
        <v>-0.38160793303152396</v>
      </c>
      <c r="I17" s="23">
        <v>134.03200000000001</v>
      </c>
      <c r="J17" s="41">
        <f t="shared" si="1"/>
        <v>-0.27743374716485625</v>
      </c>
      <c r="K17" s="23"/>
    </row>
    <row r="18" spans="2:11" s="21" customFormat="1" x14ac:dyDescent="0.25">
      <c r="B18" s="21" t="s">
        <v>81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82</v>
      </c>
      <c r="F19" s="22">
        <v>2.4729999999999999</v>
      </c>
      <c r="G19" s="23">
        <v>2.052</v>
      </c>
      <c r="H19" s="41">
        <f t="shared" si="0"/>
        <v>0.20516569200779711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83</v>
      </c>
      <c r="F20" s="20">
        <f>+F21+F22</f>
        <v>35.118000000000002</v>
      </c>
      <c r="G20" s="25">
        <f>+G21+G22</f>
        <v>35.271000000000001</v>
      </c>
      <c r="H20" s="35">
        <f t="shared" si="0"/>
        <v>-4.3378412860423099E-3</v>
      </c>
      <c r="I20" s="25">
        <f>+I21+I22</f>
        <v>35.067</v>
      </c>
      <c r="J20" s="35">
        <f t="shared" si="1"/>
        <v>1.4543587988706808E-3</v>
      </c>
      <c r="K20" s="25"/>
    </row>
    <row r="21" spans="2:11" s="19" customFormat="1" x14ac:dyDescent="0.25">
      <c r="B21" s="21" t="s">
        <v>81</v>
      </c>
      <c r="C21" s="21"/>
      <c r="D21" s="21"/>
      <c r="E21" s="21"/>
      <c r="F21" s="22">
        <v>6.1740000000000004</v>
      </c>
      <c r="G21" s="23">
        <v>5.8630000000000004</v>
      </c>
      <c r="H21" s="41">
        <f t="shared" si="0"/>
        <v>5.3044516459150648E-2</v>
      </c>
      <c r="I21" s="23">
        <v>6.3230000000000004</v>
      </c>
      <c r="J21" s="41">
        <f t="shared" si="1"/>
        <v>-2.3564763561600532E-2</v>
      </c>
      <c r="K21" s="23"/>
    </row>
    <row r="22" spans="2:11" s="19" customFormat="1" x14ac:dyDescent="0.25">
      <c r="B22" s="21" t="s">
        <v>82</v>
      </c>
      <c r="C22" s="21"/>
      <c r="D22" s="21"/>
      <c r="E22" s="21"/>
      <c r="F22" s="22">
        <v>28.943999999999999</v>
      </c>
      <c r="G22" s="23">
        <v>29.408000000000001</v>
      </c>
      <c r="H22" s="41">
        <f t="shared" si="0"/>
        <v>-1.5778019586507153E-2</v>
      </c>
      <c r="I22" s="23">
        <v>28.744</v>
      </c>
      <c r="J22" s="41">
        <f t="shared" si="1"/>
        <v>6.9579738380183276E-3</v>
      </c>
      <c r="K22" s="23"/>
    </row>
    <row r="23" spans="2:11" s="19" customFormat="1" x14ac:dyDescent="0.25">
      <c r="B23" s="19" t="s">
        <v>84</v>
      </c>
      <c r="F23" s="20">
        <f>+F24+F25</f>
        <v>4948.3550000000005</v>
      </c>
      <c r="G23" s="25">
        <f>+G24+G25</f>
        <v>6412.648000000001</v>
      </c>
      <c r="H23" s="35">
        <f t="shared" si="0"/>
        <v>-0.22834451540143796</v>
      </c>
      <c r="I23" s="25">
        <f>+I24+I25</f>
        <v>4863.6909999999998</v>
      </c>
      <c r="J23" s="35">
        <f t="shared" si="1"/>
        <v>1.7407355853815698E-2</v>
      </c>
      <c r="K23" s="25"/>
    </row>
    <row r="24" spans="2:11" s="21" customFormat="1" x14ac:dyDescent="0.25">
      <c r="B24" s="21" t="s">
        <v>81</v>
      </c>
      <c r="F24" s="22">
        <v>1496.5350000000001</v>
      </c>
      <c r="G24" s="23">
        <v>2292.9540000000002</v>
      </c>
      <c r="H24" s="35">
        <f t="shared" si="0"/>
        <v>-0.34733317807509445</v>
      </c>
      <c r="I24" s="23">
        <v>1672.1189999999999</v>
      </c>
      <c r="J24" s="35">
        <f t="shared" si="1"/>
        <v>-0.10500688049116114</v>
      </c>
      <c r="K24" s="23"/>
    </row>
    <row r="25" spans="2:11" s="21" customFormat="1" x14ac:dyDescent="0.25">
      <c r="B25" s="21" t="s">
        <v>82</v>
      </c>
      <c r="F25" s="22">
        <v>3451.82</v>
      </c>
      <c r="G25" s="23">
        <v>4119.6940000000004</v>
      </c>
      <c r="H25" s="35">
        <f t="shared" si="0"/>
        <v>-0.16211738056273117</v>
      </c>
      <c r="I25" s="23">
        <v>3191.5720000000001</v>
      </c>
      <c r="J25" s="35">
        <f t="shared" si="1"/>
        <v>8.1542261932364468E-2</v>
      </c>
      <c r="K25" s="23"/>
    </row>
    <row r="26" spans="2:11" s="19" customFormat="1" x14ac:dyDescent="0.25">
      <c r="B26" s="19" t="s">
        <v>85</v>
      </c>
      <c r="F26" s="20">
        <f>+F27+F28+F29</f>
        <v>44792.639999999999</v>
      </c>
      <c r="G26" s="25">
        <f>+G27+G28+G29</f>
        <v>45214.925000000003</v>
      </c>
      <c r="H26" s="35">
        <f t="shared" si="0"/>
        <v>-9.3395045994215664E-3</v>
      </c>
      <c r="I26" s="25">
        <f>+I27+I28+I29</f>
        <v>45836.141000000003</v>
      </c>
      <c r="J26" s="35">
        <f t="shared" si="1"/>
        <v>-2.2765899947816415E-2</v>
      </c>
      <c r="K26" s="25"/>
    </row>
    <row r="27" spans="2:11" s="19" customFormat="1" x14ac:dyDescent="0.25">
      <c r="B27" s="21" t="s">
        <v>86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2049.9769999999999</v>
      </c>
      <c r="J27" s="41">
        <f t="shared" si="1"/>
        <v>-1</v>
      </c>
      <c r="K27" s="23"/>
    </row>
    <row r="28" spans="2:11" s="19" customFormat="1" x14ac:dyDescent="0.25">
      <c r="B28" s="21" t="s">
        <v>87</v>
      </c>
      <c r="C28" s="21"/>
      <c r="D28" s="21"/>
      <c r="E28" s="21"/>
      <c r="F28" s="22">
        <v>753.53099999999995</v>
      </c>
      <c r="G28" s="23">
        <v>1553.5150000000001</v>
      </c>
      <c r="H28" s="41">
        <f t="shared" si="0"/>
        <v>-0.51495093385001112</v>
      </c>
      <c r="I28" s="23">
        <v>1616.7919999999999</v>
      </c>
      <c r="J28" s="41">
        <f t="shared" si="1"/>
        <v>-0.53393448260505982</v>
      </c>
      <c r="K28" s="23"/>
    </row>
    <row r="29" spans="2:11" s="19" customFormat="1" x14ac:dyDescent="0.25">
      <c r="B29" s="21" t="s">
        <v>18</v>
      </c>
      <c r="C29" s="21"/>
      <c r="D29" s="21"/>
      <c r="E29" s="21"/>
      <c r="F29" s="22">
        <v>44039.108999999997</v>
      </c>
      <c r="G29" s="23">
        <v>43661.41</v>
      </c>
      <c r="H29" s="41">
        <f t="shared" si="0"/>
        <v>8.6506367980327958E-3</v>
      </c>
      <c r="I29" s="23">
        <v>42169.372000000003</v>
      </c>
      <c r="J29" s="41">
        <f t="shared" si="1"/>
        <v>4.4338744243096473E-2</v>
      </c>
      <c r="K29" s="25"/>
    </row>
    <row r="30" spans="2:11" s="19" customFormat="1" x14ac:dyDescent="0.25">
      <c r="B30" s="19" t="s">
        <v>88</v>
      </c>
      <c r="F30" s="20">
        <v>45.250999999999998</v>
      </c>
      <c r="G30" s="25">
        <v>45.151000000000003</v>
      </c>
      <c r="H30" s="35">
        <f t="shared" si="0"/>
        <v>2.214790370091313E-3</v>
      </c>
      <c r="I30" s="25">
        <v>44.743000000000002</v>
      </c>
      <c r="J30" s="35">
        <f t="shared" si="1"/>
        <v>1.1353731309925452E-2</v>
      </c>
      <c r="K30" s="25"/>
    </row>
    <row r="31" spans="2:11" s="19" customFormat="1" x14ac:dyDescent="0.25">
      <c r="B31" s="19" t="s">
        <v>89</v>
      </c>
      <c r="F31" s="20">
        <v>891.53899999999999</v>
      </c>
      <c r="G31" s="25">
        <v>855.33600000000001</v>
      </c>
      <c r="H31" s="35">
        <f t="shared" si="0"/>
        <v>4.2326056660774158E-2</v>
      </c>
      <c r="I31" s="25">
        <v>902.81500000000005</v>
      </c>
      <c r="J31" s="35">
        <f t="shared" si="1"/>
        <v>-1.2489823496508179E-2</v>
      </c>
      <c r="K31" s="25"/>
    </row>
    <row r="32" spans="2:11" s="19" customFormat="1" x14ac:dyDescent="0.25">
      <c r="B32" s="19" t="s">
        <v>80</v>
      </c>
      <c r="F32" s="20">
        <v>208.66800000000001</v>
      </c>
      <c r="G32" s="25">
        <v>335.755</v>
      </c>
      <c r="H32" s="35">
        <f t="shared" si="0"/>
        <v>-0.37851111673690629</v>
      </c>
      <c r="I32" s="25">
        <v>218.07599999999999</v>
      </c>
      <c r="J32" s="35">
        <f t="shared" si="1"/>
        <v>-4.3140923347823601E-2</v>
      </c>
      <c r="K32" s="25"/>
    </row>
    <row r="33" spans="2:11" s="19" customFormat="1" x14ac:dyDescent="0.25">
      <c r="B33" s="19" t="s">
        <v>17</v>
      </c>
      <c r="F33" s="20">
        <v>501.53300000000002</v>
      </c>
      <c r="G33" s="25">
        <v>531.577</v>
      </c>
      <c r="H33" s="35">
        <f t="shared" si="0"/>
        <v>-5.6518622890004644E-2</v>
      </c>
      <c r="I33" s="25">
        <v>499.01</v>
      </c>
      <c r="J33" s="35">
        <f t="shared" si="1"/>
        <v>5.0560109015851395E-3</v>
      </c>
      <c r="K33" s="25"/>
    </row>
    <row r="34" spans="2:11" s="19" customFormat="1" x14ac:dyDescent="0.25">
      <c r="B34" s="19" t="s">
        <v>90</v>
      </c>
      <c r="F34" s="20">
        <v>52.674999999999997</v>
      </c>
      <c r="G34" s="25">
        <v>67.563000000000002</v>
      </c>
      <c r="H34" s="35">
        <f t="shared" si="0"/>
        <v>-0.22035729615321997</v>
      </c>
      <c r="I34" s="25">
        <v>54.454999999999998</v>
      </c>
      <c r="J34" s="35">
        <f t="shared" si="1"/>
        <v>-3.2687540170783236E-2</v>
      </c>
      <c r="K34" s="25"/>
    </row>
    <row r="35" spans="2:11" s="19" customFormat="1" x14ac:dyDescent="0.25">
      <c r="B35" s="19" t="s">
        <v>91</v>
      </c>
      <c r="F35" s="20">
        <v>1025.885</v>
      </c>
      <c r="G35" s="25">
        <v>1087.45</v>
      </c>
      <c r="H35" s="35">
        <f t="shared" si="0"/>
        <v>-5.6614097199871316E-2</v>
      </c>
      <c r="I35" s="25">
        <v>1039.3489999999999</v>
      </c>
      <c r="J35" s="35">
        <f t="shared" si="1"/>
        <v>-1.2954262716373344E-2</v>
      </c>
      <c r="K35" s="25"/>
    </row>
    <row r="36" spans="2:11" s="19" customFormat="1" x14ac:dyDescent="0.25">
      <c r="B36" s="19" t="s">
        <v>92</v>
      </c>
      <c r="F36" s="20">
        <v>355.1</v>
      </c>
      <c r="G36" s="25">
        <v>341.83300000000003</v>
      </c>
      <c r="H36" s="35">
        <f t="shared" si="0"/>
        <v>3.8811349401608464E-2</v>
      </c>
      <c r="I36" s="25">
        <v>350.71499999999997</v>
      </c>
      <c r="J36" s="35">
        <f t="shared" si="1"/>
        <v>1.2503029525398279E-2</v>
      </c>
      <c r="K36" s="25"/>
    </row>
    <row r="37" spans="2:11" s="19" customFormat="1" x14ac:dyDescent="0.25">
      <c r="B37" s="19" t="s">
        <v>93</v>
      </c>
      <c r="F37" s="20">
        <v>1940.354</v>
      </c>
      <c r="G37" s="25">
        <v>1990.8910000000001</v>
      </c>
      <c r="H37" s="35">
        <f t="shared" si="0"/>
        <v>-2.5384111937820864E-2</v>
      </c>
      <c r="I37" s="25">
        <v>1943.117</v>
      </c>
      <c r="J37" s="35">
        <f t="shared" si="1"/>
        <v>-1.421942168176149E-3</v>
      </c>
      <c r="K37" s="25"/>
    </row>
    <row r="38" spans="2:11" s="6" customFormat="1" ht="17.25" x14ac:dyDescent="0.3">
      <c r="B38" s="19" t="s">
        <v>94</v>
      </c>
      <c r="C38" s="19"/>
      <c r="D38" s="19"/>
      <c r="E38" s="19"/>
      <c r="F38" s="20">
        <v>391.26600000000002</v>
      </c>
      <c r="G38" s="25">
        <v>317.87900000000002</v>
      </c>
      <c r="H38" s="35">
        <f t="shared" si="0"/>
        <v>0.23086457425624207</v>
      </c>
      <c r="I38" s="25">
        <v>344.76100000000002</v>
      </c>
      <c r="J38" s="35">
        <f t="shared" si="1"/>
        <v>0.13489054736469619</v>
      </c>
      <c r="K38" s="40"/>
    </row>
    <row r="39" spans="2:11" s="19" customFormat="1" ht="17.25" x14ac:dyDescent="0.3">
      <c r="B39" s="6" t="s">
        <v>95</v>
      </c>
      <c r="C39" s="6"/>
      <c r="D39" s="6"/>
      <c r="E39" s="6"/>
      <c r="F39" s="18">
        <f>+F15+F16+F20+F23+F26+F30+F31+F32+F33+F34+F35+F36+F37+F38</f>
        <v>57270.014999999999</v>
      </c>
      <c r="G39" s="40">
        <f>+G15+G16+G20+G23+G26+G30+G31+G32+G33+G34+G35+G36+G37+G38</f>
        <v>58098.938999999998</v>
      </c>
      <c r="H39" s="39">
        <f t="shared" si="0"/>
        <v>-1.4267455039067012E-2</v>
      </c>
      <c r="I39" s="40">
        <f>+I15+I16+I20+I23+I26+I30+I31+I32+I33+I34+I35+I36+I37+I38</f>
        <v>57117.916000000005</v>
      </c>
      <c r="J39" s="39">
        <f t="shared" si="1"/>
        <v>2.6628947736817565E-3</v>
      </c>
      <c r="K39" s="25"/>
    </row>
    <row r="40" spans="2:11" s="19" customFormat="1" x14ac:dyDescent="0.25">
      <c r="B40" s="19" t="s">
        <v>96</v>
      </c>
      <c r="F40" s="20">
        <v>95.031999999999996</v>
      </c>
      <c r="G40" s="25">
        <v>159.797</v>
      </c>
      <c r="H40" s="35">
        <f t="shared" si="0"/>
        <v>-0.405295468625819</v>
      </c>
      <c r="I40" s="25">
        <v>131.49700000000001</v>
      </c>
      <c r="J40" s="35">
        <f t="shared" si="1"/>
        <v>-0.27730670661688106</v>
      </c>
      <c r="K40" s="25"/>
    </row>
    <row r="41" spans="2:11" s="21" customFormat="1" x14ac:dyDescent="0.25">
      <c r="B41" s="19" t="s">
        <v>97</v>
      </c>
      <c r="C41" s="19"/>
      <c r="D41" s="19"/>
      <c r="E41" s="19"/>
      <c r="F41" s="20">
        <f>+F42+F43+F44+F45+F46</f>
        <v>49899.075999999994</v>
      </c>
      <c r="G41" s="25">
        <f>+G42+G43+G44+G45+G46</f>
        <v>50815.54</v>
      </c>
      <c r="H41" s="35">
        <f t="shared" si="0"/>
        <v>-1.8035112880823601E-2</v>
      </c>
      <c r="I41" s="25">
        <f>+I42+I43+I44+I45+I46</f>
        <v>49757.092999999993</v>
      </c>
      <c r="J41" s="35">
        <f t="shared" si="1"/>
        <v>2.8535228133204082E-3</v>
      </c>
      <c r="K41" s="23"/>
    </row>
    <row r="42" spans="2:11" s="21" customFormat="1" x14ac:dyDescent="0.25">
      <c r="B42" s="21" t="s">
        <v>98</v>
      </c>
      <c r="F42" s="22">
        <v>4000.57</v>
      </c>
      <c r="G42" s="23">
        <v>2620</v>
      </c>
      <c r="H42" s="35">
        <f t="shared" si="0"/>
        <v>0.5269351145038168</v>
      </c>
      <c r="I42" s="23">
        <v>4000.57</v>
      </c>
      <c r="J42" s="35">
        <f t="shared" si="1"/>
        <v>0</v>
      </c>
      <c r="K42" s="23"/>
    </row>
    <row r="43" spans="2:11" s="21" customFormat="1" x14ac:dyDescent="0.25">
      <c r="B43" s="21" t="s">
        <v>99</v>
      </c>
      <c r="F43" s="22">
        <v>706.01099999999997</v>
      </c>
      <c r="G43" s="23">
        <v>1680.9</v>
      </c>
      <c r="H43" s="35">
        <f t="shared" si="0"/>
        <v>-0.57998036766018202</v>
      </c>
      <c r="I43" s="23">
        <v>908.63400000000001</v>
      </c>
      <c r="J43" s="35">
        <f t="shared" si="1"/>
        <v>-0.22299737848242529</v>
      </c>
      <c r="K43" s="23"/>
    </row>
    <row r="44" spans="2:11" s="21" customFormat="1" x14ac:dyDescent="0.25">
      <c r="B44" s="21" t="s">
        <v>21</v>
      </c>
      <c r="F44" s="22">
        <v>41362.440999999999</v>
      </c>
      <c r="G44" s="23">
        <v>41540.951000000001</v>
      </c>
      <c r="H44" s="35">
        <f t="shared" si="0"/>
        <v>-4.297205425075612E-3</v>
      </c>
      <c r="I44" s="23">
        <v>40880.476000000002</v>
      </c>
      <c r="J44" s="35">
        <f t="shared" si="1"/>
        <v>1.1789613212918493E-2</v>
      </c>
      <c r="K44" s="23"/>
    </row>
    <row r="45" spans="2:11" s="21" customFormat="1" x14ac:dyDescent="0.25">
      <c r="B45" s="21" t="s">
        <v>100</v>
      </c>
      <c r="F45" s="22">
        <v>3150.2289999999998</v>
      </c>
      <c r="G45" s="23">
        <v>4265.5259999999998</v>
      </c>
      <c r="H45" s="35">
        <f t="shared" si="0"/>
        <v>-0.26146763611334223</v>
      </c>
      <c r="I45" s="23">
        <v>3267.8589999999999</v>
      </c>
      <c r="J45" s="35">
        <f t="shared" si="1"/>
        <v>-3.5996045117001718E-2</v>
      </c>
      <c r="K45" s="23"/>
    </row>
    <row r="46" spans="2:11" x14ac:dyDescent="0.25">
      <c r="B46" s="21" t="s">
        <v>101</v>
      </c>
      <c r="C46" s="21"/>
      <c r="D46" s="21"/>
      <c r="E46" s="21"/>
      <c r="F46" s="22">
        <v>679.82500000000005</v>
      </c>
      <c r="G46" s="23">
        <v>708.16300000000001</v>
      </c>
      <c r="H46" s="35">
        <f t="shared" si="0"/>
        <v>-4.0016210957081855E-2</v>
      </c>
      <c r="I46" s="23">
        <v>699.55399999999997</v>
      </c>
      <c r="J46" s="35">
        <f t="shared" si="1"/>
        <v>-2.820225457934622E-2</v>
      </c>
      <c r="K46" s="11"/>
    </row>
    <row r="47" spans="2:11" x14ac:dyDescent="0.25">
      <c r="B47" s="19" t="s">
        <v>80</v>
      </c>
      <c r="F47" s="22">
        <v>146.214</v>
      </c>
      <c r="G47" s="11">
        <v>182.08199999999999</v>
      </c>
      <c r="H47" s="35">
        <f t="shared" si="0"/>
        <v>-0.1969881701650904</v>
      </c>
      <c r="I47" s="11">
        <v>163.66</v>
      </c>
      <c r="J47" s="35">
        <f t="shared" si="1"/>
        <v>-0.10659904680435051</v>
      </c>
      <c r="K47" s="11"/>
    </row>
    <row r="48" spans="2:11" x14ac:dyDescent="0.25">
      <c r="B48" s="19" t="s">
        <v>102</v>
      </c>
      <c r="F48" s="22">
        <v>637.15700000000004</v>
      </c>
      <c r="G48" s="11">
        <v>647.41600000000005</v>
      </c>
      <c r="H48" s="35">
        <f t="shared" si="0"/>
        <v>-1.5846071150543151E-2</v>
      </c>
      <c r="I48" s="11">
        <v>634.52300000000002</v>
      </c>
      <c r="J48" s="35">
        <f t="shared" si="1"/>
        <v>4.151149761316697E-3</v>
      </c>
      <c r="K48" s="11"/>
    </row>
    <row r="49" spans="2:11" x14ac:dyDescent="0.25">
      <c r="B49" s="1" t="s">
        <v>103</v>
      </c>
      <c r="F49" s="22">
        <v>541.91800000000001</v>
      </c>
      <c r="G49" s="11">
        <v>514.90200000000004</v>
      </c>
      <c r="H49" s="35">
        <f t="shared" si="0"/>
        <v>5.2468236674163116E-2</v>
      </c>
      <c r="I49" s="11">
        <v>591.06100000000004</v>
      </c>
      <c r="J49" s="35">
        <f t="shared" si="1"/>
        <v>-8.3143702595840363E-2</v>
      </c>
      <c r="K49" s="11"/>
    </row>
    <row r="50" spans="2:11" x14ac:dyDescent="0.25">
      <c r="B50" s="19" t="s">
        <v>104</v>
      </c>
      <c r="F50" s="22">
        <v>272.15100000000001</v>
      </c>
      <c r="G50" s="11">
        <v>268.29300000000001</v>
      </c>
      <c r="H50" s="35">
        <f t="shared" si="0"/>
        <v>1.4379801187507812E-2</v>
      </c>
      <c r="I50" s="11">
        <v>256.661</v>
      </c>
      <c r="J50" s="35">
        <f t="shared" si="1"/>
        <v>6.0351981797000853E-2</v>
      </c>
      <c r="K50" s="11"/>
    </row>
    <row r="51" spans="2:11" s="6" customFormat="1" ht="17.25" x14ac:dyDescent="0.3">
      <c r="B51" s="19" t="s">
        <v>105</v>
      </c>
      <c r="C51" s="1"/>
      <c r="D51" s="1"/>
      <c r="E51" s="1"/>
      <c r="F51" s="22">
        <v>187.47200000000001</v>
      </c>
      <c r="G51" s="11">
        <v>160.19</v>
      </c>
      <c r="H51" s="35">
        <f t="shared" si="0"/>
        <v>0.17031025657032273</v>
      </c>
      <c r="I51" s="11">
        <v>162.03299999999999</v>
      </c>
      <c r="J51" s="35">
        <f t="shared" si="1"/>
        <v>0.15699888294359798</v>
      </c>
      <c r="K51" s="40"/>
    </row>
    <row r="52" spans="2:11" ht="17.25" x14ac:dyDescent="0.3">
      <c r="B52" s="6" t="s">
        <v>106</v>
      </c>
      <c r="C52" s="6"/>
      <c r="D52" s="6"/>
      <c r="E52" s="6"/>
      <c r="F52" s="18">
        <f>+F40+F41+F47+F48+F49+F50+F51</f>
        <v>51779.01999999999</v>
      </c>
      <c r="G52" s="40">
        <f>+G40+G41+G47+G48+G49+G50+G51</f>
        <v>52748.22</v>
      </c>
      <c r="H52" s="39">
        <f t="shared" si="0"/>
        <v>-1.8374079731979798E-2</v>
      </c>
      <c r="I52" s="40">
        <f>+I40+I41+I47+I48+I49+I50+I51</f>
        <v>51696.528000000006</v>
      </c>
      <c r="J52" s="39">
        <f t="shared" si="1"/>
        <v>1.5956971036814593E-3</v>
      </c>
      <c r="K52" s="25"/>
    </row>
    <row r="53" spans="2:11" x14ac:dyDescent="0.25">
      <c r="B53" s="19" t="s">
        <v>107</v>
      </c>
      <c r="C53" s="19"/>
      <c r="D53" s="19"/>
      <c r="E53" s="19"/>
      <c r="F53" s="20">
        <v>5018.741</v>
      </c>
      <c r="G53" s="25">
        <v>4870.5789999999997</v>
      </c>
      <c r="H53" s="35">
        <f t="shared" si="0"/>
        <v>3.0419791979557242E-2</v>
      </c>
      <c r="I53" s="25">
        <v>4965.7520000000004</v>
      </c>
      <c r="J53" s="35">
        <f t="shared" si="1"/>
        <v>1.0670891337303923E-2</v>
      </c>
      <c r="K53" s="25"/>
    </row>
    <row r="54" spans="2:11" x14ac:dyDescent="0.25">
      <c r="B54" s="19" t="s">
        <v>108</v>
      </c>
      <c r="C54" s="19"/>
      <c r="D54" s="19"/>
      <c r="E54" s="19"/>
      <c r="F54" s="20">
        <v>458.68400000000003</v>
      </c>
      <c r="G54" s="25">
        <v>469.24</v>
      </c>
      <c r="H54" s="35">
        <f t="shared" si="0"/>
        <v>-2.2495950899326544E-2</v>
      </c>
      <c r="I54" s="25">
        <v>442.476</v>
      </c>
      <c r="J54" s="35">
        <f t="shared" si="1"/>
        <v>3.663023531219789E-2</v>
      </c>
      <c r="K54" s="25"/>
    </row>
    <row r="55" spans="2:11" s="6" customFormat="1" ht="17.25" x14ac:dyDescent="0.3">
      <c r="B55" s="19" t="s">
        <v>109</v>
      </c>
      <c r="C55" s="19"/>
      <c r="D55" s="19"/>
      <c r="E55" s="19"/>
      <c r="F55" s="20">
        <v>13.57</v>
      </c>
      <c r="G55" s="25">
        <v>10.9</v>
      </c>
      <c r="H55" s="35">
        <f t="shared" si="0"/>
        <v>0.2449541284403669</v>
      </c>
      <c r="I55" s="25">
        <v>13.16</v>
      </c>
      <c r="J55" s="35">
        <f t="shared" si="1"/>
        <v>3.1155015197568359E-2</v>
      </c>
      <c r="K55" s="27"/>
    </row>
    <row r="56" spans="2:11" s="6" customFormat="1" ht="17.25" x14ac:dyDescent="0.3">
      <c r="B56" s="6" t="s">
        <v>110</v>
      </c>
      <c r="F56" s="18">
        <f>+SUM(F53:F55)</f>
        <v>5490.9949999999999</v>
      </c>
      <c r="G56" s="27">
        <f>+SUM(G53:G55)</f>
        <v>5350.7189999999991</v>
      </c>
      <c r="H56" s="39">
        <f t="shared" si="0"/>
        <v>2.6216289810771398E-2</v>
      </c>
      <c r="I56" s="27">
        <f>+SUM(I53:I55)</f>
        <v>5421.3879999999999</v>
      </c>
      <c r="J56" s="39">
        <f t="shared" si="1"/>
        <v>1.2839331920165176E-2</v>
      </c>
      <c r="K56" s="27"/>
    </row>
    <row r="57" spans="2:11" ht="17.25" x14ac:dyDescent="0.3">
      <c r="B57" s="6" t="s">
        <v>111</v>
      </c>
      <c r="C57" s="6"/>
      <c r="D57" s="6"/>
      <c r="E57" s="6"/>
      <c r="F57" s="18">
        <f>+F52+F56</f>
        <v>57270.014999999992</v>
      </c>
      <c r="G57" s="27">
        <f>+G52+G56</f>
        <v>58098.938999999998</v>
      </c>
      <c r="H57" s="39">
        <f t="shared" si="0"/>
        <v>-1.4267455039067123E-2</v>
      </c>
      <c r="I57" s="27">
        <f>+I52+I56</f>
        <v>57117.916000000005</v>
      </c>
      <c r="J57" s="39">
        <f t="shared" si="1"/>
        <v>2.6628947736817565E-3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 I56:I57 I52 I41 I39 I26 I23 I20 I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112</v>
      </c>
    </row>
    <row r="12" spans="2:9" ht="17.25" x14ac:dyDescent="0.3">
      <c r="B12" s="6" t="s">
        <v>12</v>
      </c>
      <c r="G12" s="4"/>
    </row>
    <row r="13" spans="2:9" x14ac:dyDescent="0.25">
      <c r="B13" s="74" t="s">
        <v>13</v>
      </c>
      <c r="G13" s="4"/>
    </row>
    <row r="14" spans="2:9" x14ac:dyDescent="0.25">
      <c r="B14" s="7"/>
      <c r="C14" s="7"/>
      <c r="D14" s="7"/>
      <c r="E14" s="7"/>
      <c r="F14" s="8" t="s">
        <v>9</v>
      </c>
      <c r="G14" s="9" t="s">
        <v>30</v>
      </c>
      <c r="H14" s="9" t="s">
        <v>29</v>
      </c>
    </row>
    <row r="15" spans="2:9" x14ac:dyDescent="0.25">
      <c r="B15" s="1" t="s">
        <v>21</v>
      </c>
      <c r="F15" s="10">
        <f>+Balantzea!F44</f>
        <v>41362.440999999999</v>
      </c>
      <c r="G15" s="11">
        <f>+Balantzea!$G$44</f>
        <v>41540.951000000001</v>
      </c>
      <c r="H15" s="35">
        <f>IF(ISERROR($F15/G15),"-",$F15/G15-1)</f>
        <v>-4.297205425075612E-3</v>
      </c>
      <c r="I15" s="12"/>
    </row>
    <row r="16" spans="2:9" s="5" customFormat="1" x14ac:dyDescent="0.25">
      <c r="B16" s="5" t="s">
        <v>23</v>
      </c>
      <c r="F16" s="17">
        <f>+'KF-B'!E24</f>
        <v>39642.199990629997</v>
      </c>
      <c r="G16" s="37">
        <f>+'KF-B'!F24</f>
        <v>38211.024361160002</v>
      </c>
      <c r="H16" s="38">
        <f t="shared" ref="H16:H25" si="0">IF(ISERROR($F16/G16),"-",$F16/G16-1)</f>
        <v>3.7454521395263285E-2</v>
      </c>
    </row>
    <row r="17" spans="2:11" x14ac:dyDescent="0.25">
      <c r="B17" s="1" t="s">
        <v>113</v>
      </c>
      <c r="F17" s="10">
        <v>2326.9769999999999</v>
      </c>
      <c r="G17" s="11">
        <v>2015.914</v>
      </c>
      <c r="H17" s="35">
        <f t="shared" si="0"/>
        <v>0.1543037054160048</v>
      </c>
    </row>
    <row r="18" spans="2:11" x14ac:dyDescent="0.25">
      <c r="B18" s="1" t="s">
        <v>114</v>
      </c>
      <c r="F18" s="10">
        <f>+F16-F17</f>
        <v>37315.222990629998</v>
      </c>
      <c r="G18" s="11">
        <f>+G16-G17</f>
        <v>36195.110361160005</v>
      </c>
      <c r="H18" s="35">
        <f t="shared" si="0"/>
        <v>3.0946517866456302E-2</v>
      </c>
    </row>
    <row r="19" spans="2:11" s="21" customFormat="1" x14ac:dyDescent="0.25">
      <c r="B19" s="21" t="s">
        <v>115</v>
      </c>
      <c r="F19" s="22">
        <v>25557.86</v>
      </c>
      <c r="G19" s="23">
        <v>22204.173999999999</v>
      </c>
      <c r="H19" s="41">
        <f t="shared" si="0"/>
        <v>0.15103853897019559</v>
      </c>
    </row>
    <row r="20" spans="2:11" s="21" customFormat="1" x14ac:dyDescent="0.25">
      <c r="B20" s="21" t="s">
        <v>116</v>
      </c>
      <c r="F20" s="22">
        <v>11328.359146949999</v>
      </c>
      <c r="G20" s="23">
        <v>13536.845008450002</v>
      </c>
      <c r="H20" s="41">
        <f t="shared" si="0"/>
        <v>-0.16314627670786042</v>
      </c>
    </row>
    <row r="21" spans="2:11" s="21" customFormat="1" x14ac:dyDescent="0.25">
      <c r="B21" s="21" t="s">
        <v>117</v>
      </c>
      <c r="F21" s="22">
        <v>419.43799999999999</v>
      </c>
      <c r="G21" s="23">
        <v>381.37900000000002</v>
      </c>
      <c r="H21" s="41">
        <f t="shared" si="0"/>
        <v>9.9793119180657586E-2</v>
      </c>
      <c r="K21" s="65"/>
    </row>
    <row r="22" spans="2:11" x14ac:dyDescent="0.25">
      <c r="B22" s="1" t="s">
        <v>118</v>
      </c>
      <c r="F22" s="10">
        <v>27732.145</v>
      </c>
      <c r="G22" s="11">
        <v>24002.210999999999</v>
      </c>
      <c r="H22" s="35">
        <f t="shared" si="0"/>
        <v>0.15539960047847257</v>
      </c>
    </row>
    <row r="23" spans="2:11" x14ac:dyDescent="0.25">
      <c r="B23" s="1" t="s">
        <v>119</v>
      </c>
      <c r="F23" s="10">
        <v>11897.549146949999</v>
      </c>
      <c r="G23" s="11">
        <v>14101.291008450002</v>
      </c>
      <c r="H23" s="35">
        <f t="shared" si="0"/>
        <v>-0.15627943995903926</v>
      </c>
    </row>
    <row r="24" spans="2:11" x14ac:dyDescent="0.25">
      <c r="B24" s="1" t="s">
        <v>120</v>
      </c>
      <c r="F24" s="10">
        <f>+'KF-B'!E25</f>
        <v>18917.485908609993</v>
      </c>
      <c r="G24" s="11">
        <f>+'KF-B'!F25</f>
        <v>17377.838631899991</v>
      </c>
      <c r="H24" s="35">
        <f t="shared" si="0"/>
        <v>8.8598318198427561E-2</v>
      </c>
    </row>
    <row r="25" spans="2:11" s="5" customFormat="1" x14ac:dyDescent="0.25">
      <c r="B25" s="5" t="s">
        <v>121</v>
      </c>
      <c r="F25" s="17">
        <f>+F24+F16</f>
        <v>58559.685899239994</v>
      </c>
      <c r="G25" s="37">
        <f>+G24+G16</f>
        <v>55588.862993059993</v>
      </c>
      <c r="H25" s="38">
        <f t="shared" si="0"/>
        <v>5.3442771559311986E-2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28</v>
      </c>
      <c r="G33" s="4"/>
    </row>
    <row r="34" spans="2:8" x14ac:dyDescent="0.25">
      <c r="B34" s="74" t="s">
        <v>13</v>
      </c>
      <c r="G34" s="4"/>
    </row>
    <row r="35" spans="2:8" x14ac:dyDescent="0.25">
      <c r="B35" s="7"/>
      <c r="C35" s="7"/>
      <c r="D35" s="7"/>
      <c r="E35" s="7"/>
      <c r="F35" s="8" t="s">
        <v>9</v>
      </c>
      <c r="G35" s="9" t="s">
        <v>31</v>
      </c>
      <c r="H35" s="9" t="s">
        <v>29</v>
      </c>
    </row>
    <row r="36" spans="2:8" x14ac:dyDescent="0.25">
      <c r="B36" s="1" t="s">
        <v>21</v>
      </c>
      <c r="F36" s="10">
        <f>+F15</f>
        <v>41362.440999999999</v>
      </c>
      <c r="G36" s="11">
        <f>+Balantzea!$I$44</f>
        <v>40880.476000000002</v>
      </c>
      <c r="H36" s="35">
        <f>IF(ISERROR($F36/G36),"-",$F36/G36-1)</f>
        <v>1.1789613212918493E-2</v>
      </c>
    </row>
    <row r="37" spans="2:8" x14ac:dyDescent="0.25">
      <c r="B37" s="5" t="s">
        <v>23</v>
      </c>
      <c r="C37" s="5"/>
      <c r="D37" s="5"/>
      <c r="E37" s="5"/>
      <c r="F37" s="17">
        <f t="shared" ref="F37:F46" si="1">+F16</f>
        <v>39642.199990629997</v>
      </c>
      <c r="G37" s="37">
        <f>+'KF-B'!F46</f>
        <v>38999.426034060001</v>
      </c>
      <c r="H37" s="38">
        <f t="shared" ref="H37:H46" si="2">IF(ISERROR($F37/G37),"-",$F37/G37-1)</f>
        <v>1.6481626063127974E-2</v>
      </c>
    </row>
    <row r="38" spans="2:8" x14ac:dyDescent="0.25">
      <c r="B38" s="1" t="s">
        <v>113</v>
      </c>
      <c r="F38" s="10">
        <f t="shared" si="1"/>
        <v>2326.9769999999999</v>
      </c>
      <c r="G38" s="11">
        <v>2011.03</v>
      </c>
      <c r="H38" s="35">
        <f t="shared" si="2"/>
        <v>0.15710705459391461</v>
      </c>
    </row>
    <row r="39" spans="2:8" x14ac:dyDescent="0.25">
      <c r="B39" s="1" t="s">
        <v>114</v>
      </c>
      <c r="F39" s="10">
        <f t="shared" si="1"/>
        <v>37315.222990629998</v>
      </c>
      <c r="G39" s="11">
        <f>+G37-G38</f>
        <v>36988.396034060002</v>
      </c>
      <c r="H39" s="35">
        <f t="shared" si="2"/>
        <v>8.8359321196043172E-3</v>
      </c>
    </row>
    <row r="40" spans="2:8" x14ac:dyDescent="0.25">
      <c r="B40" s="21" t="s">
        <v>115</v>
      </c>
      <c r="C40" s="21"/>
      <c r="D40" s="21"/>
      <c r="E40" s="21"/>
      <c r="F40" s="22">
        <f t="shared" si="1"/>
        <v>25557.86</v>
      </c>
      <c r="G40" s="23">
        <v>23789.755000000001</v>
      </c>
      <c r="H40" s="41">
        <f t="shared" si="2"/>
        <v>7.432211891211149E-2</v>
      </c>
    </row>
    <row r="41" spans="2:8" x14ac:dyDescent="0.25">
      <c r="B41" s="21" t="s">
        <v>116</v>
      </c>
      <c r="C41" s="21"/>
      <c r="D41" s="21"/>
      <c r="E41" s="21"/>
      <c r="F41" s="22">
        <f t="shared" si="1"/>
        <v>11328.359146949999</v>
      </c>
      <c r="G41" s="23">
        <v>11889.503008449999</v>
      </c>
      <c r="H41" s="41">
        <f t="shared" si="2"/>
        <v>-4.7196578452538329E-2</v>
      </c>
    </row>
    <row r="42" spans="2:8" x14ac:dyDescent="0.25">
      <c r="B42" s="21" t="s">
        <v>117</v>
      </c>
      <c r="C42" s="21"/>
      <c r="D42" s="21"/>
      <c r="E42" s="21"/>
      <c r="F42" s="22">
        <f t="shared" si="1"/>
        <v>419.43799999999999</v>
      </c>
      <c r="G42" s="23">
        <v>1294.567</v>
      </c>
      <c r="H42" s="41">
        <f t="shared" si="2"/>
        <v>-0.67600131936006402</v>
      </c>
    </row>
    <row r="43" spans="2:8" x14ac:dyDescent="0.25">
      <c r="B43" s="1" t="s">
        <v>118</v>
      </c>
      <c r="F43" s="10">
        <f t="shared" si="1"/>
        <v>27732.145</v>
      </c>
      <c r="G43" s="11">
        <v>25657.411</v>
      </c>
      <c r="H43" s="35">
        <f t="shared" si="2"/>
        <v>8.0862952228500484E-2</v>
      </c>
    </row>
    <row r="44" spans="2:8" x14ac:dyDescent="0.25">
      <c r="B44" s="1" t="s">
        <v>119</v>
      </c>
      <c r="F44" s="10">
        <f t="shared" si="1"/>
        <v>11897.549146949999</v>
      </c>
      <c r="G44" s="11">
        <v>13321.10600845</v>
      </c>
      <c r="H44" s="35">
        <f t="shared" si="2"/>
        <v>-0.10686476487740537</v>
      </c>
    </row>
    <row r="45" spans="2:8" x14ac:dyDescent="0.25">
      <c r="B45" s="1" t="s">
        <v>120</v>
      </c>
      <c r="F45" s="10">
        <f t="shared" si="1"/>
        <v>18917.485908609993</v>
      </c>
      <c r="G45" s="11">
        <f>+'KF-B'!F47</f>
        <v>17869.002059859999</v>
      </c>
      <c r="H45" s="35">
        <f t="shared" si="2"/>
        <v>5.8676127812713919E-2</v>
      </c>
    </row>
    <row r="46" spans="2:8" x14ac:dyDescent="0.25">
      <c r="B46" s="5" t="s">
        <v>121</v>
      </c>
      <c r="C46" s="5"/>
      <c r="D46" s="5"/>
      <c r="E46" s="5"/>
      <c r="F46" s="17">
        <f t="shared" si="1"/>
        <v>58559.685899239994</v>
      </c>
      <c r="G46" s="37">
        <f>+G45+G37</f>
        <v>56868.428093919996</v>
      </c>
      <c r="H46" s="38">
        <f t="shared" si="2"/>
        <v>2.9739837410783121E-2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122</v>
      </c>
    </row>
    <row r="12" spans="2:8" ht="17.25" x14ac:dyDescent="0.3">
      <c r="B12" s="6" t="s">
        <v>12</v>
      </c>
      <c r="G12" s="4"/>
    </row>
    <row r="13" spans="2:8" x14ac:dyDescent="0.25">
      <c r="B13" s="74" t="s">
        <v>13</v>
      </c>
      <c r="G13" s="4"/>
    </row>
    <row r="14" spans="2:8" x14ac:dyDescent="0.25">
      <c r="B14" s="7"/>
      <c r="C14" s="7"/>
      <c r="D14" s="7"/>
      <c r="E14" s="7"/>
      <c r="F14" s="8" t="s">
        <v>9</v>
      </c>
      <c r="G14" s="9" t="s">
        <v>30</v>
      </c>
      <c r="H14" s="9" t="s">
        <v>29</v>
      </c>
    </row>
    <row r="15" spans="2:8" x14ac:dyDescent="0.25">
      <c r="B15" s="5" t="s">
        <v>18</v>
      </c>
      <c r="C15" s="5"/>
      <c r="D15" s="5"/>
      <c r="E15" s="5"/>
      <c r="F15" s="17">
        <f>+Balantzea!F29</f>
        <v>44039.108999999997</v>
      </c>
      <c r="G15" s="37">
        <f>+Balantzea!G29</f>
        <v>43661.41</v>
      </c>
      <c r="H15" s="69">
        <f>+F15/G15-1</f>
        <v>8.6506367980327958E-3</v>
      </c>
    </row>
    <row r="16" spans="2:8" s="21" customFormat="1" x14ac:dyDescent="0.25">
      <c r="B16" s="21" t="s">
        <v>123</v>
      </c>
      <c r="F16" s="22">
        <v>45281.445</v>
      </c>
      <c r="G16" s="23">
        <v>45297.732000000004</v>
      </c>
      <c r="H16" s="26">
        <f t="shared" ref="H16:H23" si="0">+F16/G16-1</f>
        <v>-3.5955442537394244E-4</v>
      </c>
    </row>
    <row r="17" spans="2:8" x14ac:dyDescent="0.25">
      <c r="B17" s="1" t="s">
        <v>113</v>
      </c>
      <c r="F17" s="10">
        <v>3654.0500000000011</v>
      </c>
      <c r="G17" s="11">
        <v>3210.4040000000055</v>
      </c>
      <c r="H17" s="26">
        <f t="shared" si="0"/>
        <v>0.13819008448780745</v>
      </c>
    </row>
    <row r="18" spans="2:8" x14ac:dyDescent="0.25">
      <c r="B18" s="1" t="s">
        <v>114</v>
      </c>
      <c r="F18" s="10">
        <v>41627.394999999997</v>
      </c>
      <c r="G18" s="11">
        <v>42087.328000000001</v>
      </c>
      <c r="H18" s="26">
        <f t="shared" si="0"/>
        <v>-1.0928063668000143E-2</v>
      </c>
    </row>
    <row r="19" spans="2:8" x14ac:dyDescent="0.25">
      <c r="B19" s="21" t="s">
        <v>124</v>
      </c>
      <c r="C19" s="21"/>
      <c r="D19" s="21"/>
      <c r="E19" s="21"/>
      <c r="F19" s="22">
        <v>33747.239000000001</v>
      </c>
      <c r="G19" s="23">
        <v>35288.639999999999</v>
      </c>
      <c r="H19" s="67">
        <f t="shared" si="0"/>
        <v>-4.3679807439447882E-2</v>
      </c>
    </row>
    <row r="20" spans="2:8" x14ac:dyDescent="0.25">
      <c r="B20" s="21" t="s">
        <v>125</v>
      </c>
      <c r="C20" s="21"/>
      <c r="D20" s="21"/>
      <c r="E20" s="21"/>
      <c r="F20" s="22">
        <v>7880.1559999999954</v>
      </c>
      <c r="G20" s="23">
        <v>6798.6880000000019</v>
      </c>
      <c r="H20" s="67">
        <f t="shared" si="0"/>
        <v>0.15907010293750701</v>
      </c>
    </row>
    <row r="21" spans="2:8" x14ac:dyDescent="0.25">
      <c r="B21" s="5" t="s">
        <v>126</v>
      </c>
      <c r="C21" s="5"/>
      <c r="D21" s="5"/>
      <c r="E21" s="5"/>
      <c r="F21" s="17">
        <v>31731.798999999999</v>
      </c>
      <c r="G21" s="37">
        <v>32260.817999999999</v>
      </c>
      <c r="H21" s="69">
        <f t="shared" si="0"/>
        <v>-1.6398189283359121E-2</v>
      </c>
    </row>
    <row r="22" spans="2:8" x14ac:dyDescent="0.25">
      <c r="B22" s="21" t="s">
        <v>124</v>
      </c>
      <c r="C22" s="21"/>
      <c r="D22" s="21"/>
      <c r="E22" s="21"/>
      <c r="F22" s="22">
        <v>29549.838</v>
      </c>
      <c r="G22" s="23">
        <v>30188.705000000002</v>
      </c>
      <c r="H22" s="67">
        <f t="shared" si="0"/>
        <v>-2.1162451320783759E-2</v>
      </c>
    </row>
    <row r="23" spans="2:8" x14ac:dyDescent="0.25">
      <c r="B23" s="21" t="s">
        <v>125</v>
      </c>
      <c r="C23" s="21"/>
      <c r="D23" s="21"/>
      <c r="E23" s="21"/>
      <c r="F23" s="22">
        <v>2181.9609999999993</v>
      </c>
      <c r="G23" s="23">
        <v>2072.1129999999976</v>
      </c>
      <c r="H23" s="67">
        <f t="shared" si="0"/>
        <v>5.3012552886836817E-2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28</v>
      </c>
      <c r="G30" s="4"/>
    </row>
    <row r="31" spans="2:8" x14ac:dyDescent="0.25">
      <c r="B31" s="74" t="s">
        <v>13</v>
      </c>
      <c r="G31" s="4"/>
    </row>
    <row r="32" spans="2:8" x14ac:dyDescent="0.25">
      <c r="B32" s="7"/>
      <c r="C32" s="7"/>
      <c r="D32" s="7"/>
      <c r="E32" s="7"/>
      <c r="F32" s="8" t="s">
        <v>9</v>
      </c>
      <c r="G32" s="9" t="s">
        <v>31</v>
      </c>
      <c r="H32" s="9" t="s">
        <v>29</v>
      </c>
    </row>
    <row r="33" spans="2:8" x14ac:dyDescent="0.25">
      <c r="B33" s="5" t="s">
        <v>18</v>
      </c>
      <c r="C33" s="5"/>
      <c r="D33" s="5"/>
      <c r="E33" s="5"/>
      <c r="F33" s="17">
        <f>+F15</f>
        <v>44039.108999999997</v>
      </c>
      <c r="G33" s="37">
        <f>+Balantzea!I29</f>
        <v>42169.372000000003</v>
      </c>
      <c r="H33" s="69">
        <f>+F33/G33-1</f>
        <v>4.4338744243096473E-2</v>
      </c>
    </row>
    <row r="34" spans="2:8" x14ac:dyDescent="0.25">
      <c r="B34" s="21" t="s">
        <v>123</v>
      </c>
      <c r="C34" s="21"/>
      <c r="D34" s="21"/>
      <c r="E34" s="21"/>
      <c r="F34" s="22">
        <f t="shared" ref="F34:F41" si="1">+F16</f>
        <v>45281.445</v>
      </c>
      <c r="G34" s="23">
        <v>43490.527999999998</v>
      </c>
      <c r="H34" s="26">
        <f t="shared" ref="H34:H41" si="2">+F34/G34-1</f>
        <v>4.1179472458922506E-2</v>
      </c>
    </row>
    <row r="35" spans="2:8" x14ac:dyDescent="0.25">
      <c r="B35" s="1" t="s">
        <v>113</v>
      </c>
      <c r="F35" s="10">
        <f t="shared" si="1"/>
        <v>3654.0500000000011</v>
      </c>
      <c r="G35" s="11">
        <v>2742.2390000000032</v>
      </c>
      <c r="H35" s="26">
        <f>+F35/G35-1</f>
        <v>0.33250602883264246</v>
      </c>
    </row>
    <row r="36" spans="2:8" x14ac:dyDescent="0.25">
      <c r="B36" s="1" t="s">
        <v>114</v>
      </c>
      <c r="F36" s="10">
        <f t="shared" si="1"/>
        <v>41627.394999999997</v>
      </c>
      <c r="G36" s="11">
        <v>40748.288999999997</v>
      </c>
      <c r="H36" s="26">
        <f t="shared" si="2"/>
        <v>2.1574059220007991E-2</v>
      </c>
    </row>
    <row r="37" spans="2:8" x14ac:dyDescent="0.25">
      <c r="B37" s="21" t="s">
        <v>124</v>
      </c>
      <c r="C37" s="21"/>
      <c r="D37" s="21"/>
      <c r="E37" s="21"/>
      <c r="F37" s="22">
        <f t="shared" si="1"/>
        <v>33747.239000000001</v>
      </c>
      <c r="G37" s="23">
        <v>34054.837</v>
      </c>
      <c r="H37" s="67">
        <f t="shared" si="2"/>
        <v>-9.0324320154578919E-3</v>
      </c>
    </row>
    <row r="38" spans="2:8" x14ac:dyDescent="0.25">
      <c r="B38" s="21" t="s">
        <v>125</v>
      </c>
      <c r="C38" s="21"/>
      <c r="D38" s="21"/>
      <c r="E38" s="21"/>
      <c r="F38" s="22">
        <f t="shared" si="1"/>
        <v>7880.1559999999954</v>
      </c>
      <c r="G38" s="23">
        <v>6693.4519999999975</v>
      </c>
      <c r="H38" s="67">
        <f t="shared" si="2"/>
        <v>0.17729327109539272</v>
      </c>
    </row>
    <row r="39" spans="2:8" x14ac:dyDescent="0.25">
      <c r="B39" s="5" t="s">
        <v>126</v>
      </c>
      <c r="C39" s="5"/>
      <c r="D39" s="5"/>
      <c r="E39" s="5"/>
      <c r="F39" s="17">
        <f t="shared" si="1"/>
        <v>31731.798999999999</v>
      </c>
      <c r="G39" s="37">
        <v>31392.618999999999</v>
      </c>
      <c r="H39" s="69">
        <f t="shared" si="2"/>
        <v>1.0804450562089229E-2</v>
      </c>
    </row>
    <row r="40" spans="2:8" x14ac:dyDescent="0.25">
      <c r="B40" s="21" t="s">
        <v>124</v>
      </c>
      <c r="C40" s="21"/>
      <c r="D40" s="21"/>
      <c r="E40" s="21"/>
      <c r="F40" s="22">
        <f t="shared" si="1"/>
        <v>29549.838</v>
      </c>
      <c r="G40" s="23">
        <v>29682.144</v>
      </c>
      <c r="H40" s="67">
        <f t="shared" si="2"/>
        <v>-4.4574273340901582E-3</v>
      </c>
    </row>
    <row r="41" spans="2:8" x14ac:dyDescent="0.25">
      <c r="B41" s="21" t="s">
        <v>125</v>
      </c>
      <c r="C41" s="21"/>
      <c r="D41" s="21"/>
      <c r="E41" s="21"/>
      <c r="F41" s="22">
        <f t="shared" si="1"/>
        <v>2181.9609999999993</v>
      </c>
      <c r="G41" s="23">
        <v>1710.4749999999985</v>
      </c>
      <c r="H41" s="67">
        <f t="shared" si="2"/>
        <v>0.27564623861792836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2017-09-29T09:25:01Z</cp:lastPrinted>
  <dcterms:created xsi:type="dcterms:W3CDTF">2017-01-30T09:33:19Z</dcterms:created>
  <dcterms:modified xsi:type="dcterms:W3CDTF">2018-04-18T15:34:36Z</dcterms:modified>
</cp:coreProperties>
</file>