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835" windowWidth="19230" windowHeight="544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H61" i="23" l="1"/>
  <c r="H60" i="23"/>
  <c r="H59" i="23"/>
  <c r="H55" i="23"/>
  <c r="H56" i="23"/>
  <c r="H57" i="23"/>
  <c r="H54" i="23"/>
  <c r="H33" i="23"/>
  <c r="H32" i="23"/>
  <c r="H31" i="23"/>
  <c r="H27" i="23"/>
  <c r="H28" i="23"/>
  <c r="H29" i="23"/>
  <c r="H26" i="23"/>
  <c r="H36" i="24"/>
  <c r="H34" i="24"/>
  <c r="H20" i="24"/>
  <c r="H18" i="24"/>
  <c r="G33" i="16" l="1"/>
  <c r="G34" i="16"/>
  <c r="G35" i="16"/>
  <c r="G36" i="16"/>
  <c r="G37" i="16"/>
  <c r="G38" i="16"/>
  <c r="G39" i="16"/>
  <c r="G40" i="16"/>
  <c r="G32" i="16"/>
  <c r="G23" i="16"/>
  <c r="G16" i="16"/>
  <c r="G17" i="16"/>
  <c r="G18" i="16"/>
  <c r="G19" i="16"/>
  <c r="G20" i="16"/>
  <c r="G21" i="16"/>
  <c r="G22" i="16"/>
  <c r="G15" i="16"/>
  <c r="G32" i="15"/>
  <c r="G33" i="15"/>
  <c r="G35" i="15"/>
  <c r="G31" i="15"/>
  <c r="G16" i="15"/>
  <c r="G17" i="15"/>
  <c r="G18" i="15"/>
  <c r="G19" i="15"/>
  <c r="G15" i="15"/>
  <c r="G54" i="23" l="1"/>
  <c r="G26" i="23" l="1"/>
  <c r="G55" i="23"/>
  <c r="G56" i="23"/>
  <c r="G27" i="23"/>
  <c r="G28" i="23"/>
  <c r="J19" i="18" l="1"/>
  <c r="F61" i="23" l="1"/>
  <c r="F57" i="23"/>
  <c r="F60" i="23"/>
  <c r="F59" i="23"/>
  <c r="F53" i="23"/>
  <c r="H53" i="23" s="1"/>
  <c r="F52" i="23"/>
  <c r="F51" i="23"/>
  <c r="H51" i="23" s="1"/>
  <c r="F50" i="23"/>
  <c r="F49" i="23"/>
  <c r="H49" i="23" s="1"/>
  <c r="F48" i="23"/>
  <c r="F47" i="23"/>
  <c r="H47" i="23" s="1"/>
  <c r="F46" i="23"/>
  <c r="F45" i="23"/>
  <c r="H45" i="23" s="1"/>
  <c r="F44" i="23"/>
  <c r="F43" i="23"/>
  <c r="H43" i="23" s="1"/>
  <c r="F36" i="24"/>
  <c r="F35" i="24"/>
  <c r="H35" i="24" s="1"/>
  <c r="F34" i="24"/>
  <c r="F33" i="24"/>
  <c r="H33" i="24" s="1"/>
  <c r="G15" i="24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G32" i="24"/>
  <c r="H23" i="21"/>
  <c r="H22" i="21"/>
  <c r="H21" i="21"/>
  <c r="H20" i="21"/>
  <c r="H19" i="21"/>
  <c r="H18" i="21"/>
  <c r="H17" i="21"/>
  <c r="G16" i="24"/>
  <c r="G15" i="21"/>
  <c r="F42" i="20"/>
  <c r="F40" i="20"/>
  <c r="F38" i="20"/>
  <c r="H38" i="20" s="1"/>
  <c r="G15" i="20"/>
  <c r="G57" i="19"/>
  <c r="G56" i="19"/>
  <c r="J55" i="19"/>
  <c r="J54" i="19"/>
  <c r="J53" i="19"/>
  <c r="G52" i="19"/>
  <c r="J51" i="19"/>
  <c r="J50" i="19"/>
  <c r="J49" i="19"/>
  <c r="J48" i="19"/>
  <c r="J47" i="19"/>
  <c r="J45" i="19"/>
  <c r="G36" i="20"/>
  <c r="F15" i="20"/>
  <c r="J43" i="19"/>
  <c r="J42" i="19"/>
  <c r="G41" i="19"/>
  <c r="G39" i="19"/>
  <c r="J38" i="19"/>
  <c r="J37" i="19"/>
  <c r="J36" i="19"/>
  <c r="J35" i="19"/>
  <c r="J34" i="19"/>
  <c r="J33" i="19"/>
  <c r="J32" i="19"/>
  <c r="J31" i="19"/>
  <c r="J30" i="19"/>
  <c r="G33" i="21"/>
  <c r="G31" i="24" s="1"/>
  <c r="F15" i="21"/>
  <c r="J28" i="19"/>
  <c r="G26" i="19"/>
  <c r="H25" i="19"/>
  <c r="I23" i="19"/>
  <c r="J24" i="19"/>
  <c r="G23" i="19"/>
  <c r="J22" i="19"/>
  <c r="I20" i="19"/>
  <c r="G20" i="19"/>
  <c r="H19" i="19"/>
  <c r="J18" i="19"/>
  <c r="I16" i="19"/>
  <c r="F16" i="19"/>
  <c r="G16" i="19"/>
  <c r="J41" i="18"/>
  <c r="J40" i="18"/>
  <c r="J39" i="18"/>
  <c r="I37" i="18"/>
  <c r="J36" i="18"/>
  <c r="J35" i="18"/>
  <c r="J34" i="18"/>
  <c r="J33" i="18"/>
  <c r="I32" i="18"/>
  <c r="J31" i="18"/>
  <c r="H29" i="18"/>
  <c r="J29" i="18" s="1"/>
  <c r="I29" i="18"/>
  <c r="J28" i="18"/>
  <c r="I27" i="18"/>
  <c r="J26" i="18"/>
  <c r="J25" i="18"/>
  <c r="J24" i="18"/>
  <c r="I23" i="18"/>
  <c r="I22" i="18"/>
  <c r="J21" i="18"/>
  <c r="J20" i="18"/>
  <c r="J18" i="18"/>
  <c r="J17" i="18"/>
  <c r="J16" i="18"/>
  <c r="J15" i="18"/>
  <c r="E36" i="17"/>
  <c r="G36" i="17" s="1"/>
  <c r="E35" i="17"/>
  <c r="G35" i="17" s="1"/>
  <c r="E34" i="17"/>
  <c r="G34" i="17" s="1"/>
  <c r="E33" i="17"/>
  <c r="G33" i="17" s="1"/>
  <c r="E32" i="17"/>
  <c r="G32" i="17" s="1"/>
  <c r="E31" i="17"/>
  <c r="G31" i="17" s="1"/>
  <c r="F37" i="16"/>
  <c r="F36" i="16"/>
  <c r="F35" i="16"/>
  <c r="F34" i="16"/>
  <c r="F33" i="16"/>
  <c r="F32" i="16"/>
  <c r="E40" i="16"/>
  <c r="E38" i="16"/>
  <c r="F20" i="16"/>
  <c r="E20" i="16"/>
  <c r="E37" i="16" s="1"/>
  <c r="F19" i="16"/>
  <c r="E19" i="16"/>
  <c r="F18" i="16"/>
  <c r="E18" i="16"/>
  <c r="E35" i="16" s="1"/>
  <c r="F17" i="16"/>
  <c r="F16" i="16"/>
  <c r="F15" i="16"/>
  <c r="E31" i="15"/>
  <c r="E32" i="15"/>
  <c r="F50" i="11"/>
  <c r="G45" i="20"/>
  <c r="F44" i="11"/>
  <c r="F46" i="11" s="1"/>
  <c r="F41" i="11"/>
  <c r="F40" i="11"/>
  <c r="G38" i="11"/>
  <c r="E38" i="11"/>
  <c r="F28" i="11"/>
  <c r="G24" i="20"/>
  <c r="F24" i="20"/>
  <c r="F24" i="11"/>
  <c r="G16" i="20" s="1"/>
  <c r="G18" i="20" s="1"/>
  <c r="E45" i="11"/>
  <c r="G45" i="11" s="1"/>
  <c r="F22" i="11"/>
  <c r="E22" i="11"/>
  <c r="E44" i="11" s="1"/>
  <c r="E43" i="11"/>
  <c r="G43" i="11" s="1"/>
  <c r="E42" i="11"/>
  <c r="G42" i="11" s="1"/>
  <c r="F19" i="11"/>
  <c r="E19" i="11"/>
  <c r="E41" i="11" s="1"/>
  <c r="G41" i="11" s="1"/>
  <c r="F18" i="11"/>
  <c r="F17" i="11"/>
  <c r="E17" i="11"/>
  <c r="E39" i="11" s="1"/>
  <c r="G16" i="11"/>
  <c r="F15" i="11"/>
  <c r="I26" i="19" l="1"/>
  <c r="I56" i="19"/>
  <c r="H40" i="20"/>
  <c r="H20" i="20"/>
  <c r="H42" i="20"/>
  <c r="G44" i="11"/>
  <c r="E39" i="16"/>
  <c r="G15" i="17"/>
  <c r="G17" i="17"/>
  <c r="G19" i="17"/>
  <c r="I39" i="19"/>
  <c r="F37" i="11" s="1"/>
  <c r="F39" i="11"/>
  <c r="G39" i="11" s="1"/>
  <c r="I41" i="19"/>
  <c r="I52" i="19" s="1"/>
  <c r="I57" i="19" s="1"/>
  <c r="H44" i="23"/>
  <c r="H46" i="23"/>
  <c r="H48" i="23"/>
  <c r="H50" i="23"/>
  <c r="H52" i="23"/>
  <c r="G16" i="17"/>
  <c r="G18" i="17"/>
  <c r="G20" i="17"/>
  <c r="E28" i="11"/>
  <c r="E50" i="11" s="1"/>
  <c r="G50" i="11" s="1"/>
  <c r="F20" i="19"/>
  <c r="H20" i="19" s="1"/>
  <c r="F23" i="19"/>
  <c r="H23" i="19" s="1"/>
  <c r="F26" i="19"/>
  <c r="H26" i="19" s="1"/>
  <c r="F41" i="19"/>
  <c r="J41" i="19" s="1"/>
  <c r="H16" i="21"/>
  <c r="J20" i="19"/>
  <c r="J26" i="19"/>
  <c r="G37" i="20"/>
  <c r="G39" i="20" s="1"/>
  <c r="F48" i="11"/>
  <c r="J16" i="19"/>
  <c r="H16" i="19"/>
  <c r="G17" i="11"/>
  <c r="G19" i="11"/>
  <c r="G21" i="11"/>
  <c r="G23" i="11"/>
  <c r="H24" i="20"/>
  <c r="F45" i="20"/>
  <c r="H45" i="20" s="1"/>
  <c r="F26" i="11"/>
  <c r="E47" i="11"/>
  <c r="G47" i="11" s="1"/>
  <c r="H22" i="18"/>
  <c r="J30" i="18"/>
  <c r="H15" i="19"/>
  <c r="H17" i="19"/>
  <c r="J17" i="19"/>
  <c r="J19" i="19"/>
  <c r="H21" i="19"/>
  <c r="J21" i="19"/>
  <c r="J23" i="19"/>
  <c r="J25" i="19"/>
  <c r="H27" i="19"/>
  <c r="J27" i="19"/>
  <c r="E18" i="11"/>
  <c r="G20" i="11"/>
  <c r="G22" i="11"/>
  <c r="E24" i="11"/>
  <c r="G25" i="20"/>
  <c r="G28" i="11"/>
  <c r="G46" i="20"/>
  <c r="E36" i="16"/>
  <c r="H23" i="18"/>
  <c r="J23" i="18" s="1"/>
  <c r="H18" i="19"/>
  <c r="H22" i="19"/>
  <c r="H24" i="19"/>
  <c r="H28" i="19"/>
  <c r="H30" i="19"/>
  <c r="H32" i="19"/>
  <c r="H34" i="19"/>
  <c r="H36" i="19"/>
  <c r="H38" i="19"/>
  <c r="F52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F15" i="24"/>
  <c r="H15" i="24" s="1"/>
  <c r="H15" i="21"/>
  <c r="H29" i="19"/>
  <c r="J29" i="19"/>
  <c r="H31" i="19"/>
  <c r="H33" i="19"/>
  <c r="H35" i="19"/>
  <c r="H37" i="19"/>
  <c r="H43" i="19"/>
  <c r="H45" i="19"/>
  <c r="H48" i="19"/>
  <c r="H50" i="19"/>
  <c r="H54" i="19"/>
  <c r="F56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F27" i="23"/>
  <c r="H47" i="19"/>
  <c r="H49" i="19"/>
  <c r="H51" i="19"/>
  <c r="H53" i="19"/>
  <c r="H55" i="19"/>
  <c r="H16" i="23"/>
  <c r="H18" i="23"/>
  <c r="H20" i="23"/>
  <c r="H22" i="23"/>
  <c r="H24" i="23"/>
  <c r="F26" i="23"/>
  <c r="F28" i="23"/>
  <c r="F39" i="19" l="1"/>
  <c r="H41" i="19"/>
  <c r="F54" i="23"/>
  <c r="E15" i="16"/>
  <c r="F56" i="23"/>
  <c r="E17" i="16"/>
  <c r="F55" i="23"/>
  <c r="E16" i="16"/>
  <c r="J56" i="19"/>
  <c r="H56" i="19"/>
  <c r="H33" i="21"/>
  <c r="F31" i="24"/>
  <c r="H31" i="24" s="1"/>
  <c r="F16" i="20"/>
  <c r="E46" i="11"/>
  <c r="G46" i="11" s="1"/>
  <c r="E26" i="11"/>
  <c r="G24" i="11"/>
  <c r="F32" i="24"/>
  <c r="H32" i="24" s="1"/>
  <c r="H34" i="21"/>
  <c r="F57" i="19"/>
  <c r="J52" i="19"/>
  <c r="H52" i="19"/>
  <c r="E40" i="11"/>
  <c r="G40" i="11" s="1"/>
  <c r="G18" i="11"/>
  <c r="J22" i="18"/>
  <c r="H27" i="18"/>
  <c r="J39" i="19" l="1"/>
  <c r="E15" i="11"/>
  <c r="H39" i="19"/>
  <c r="H32" i="18"/>
  <c r="J27" i="18"/>
  <c r="J57" i="19"/>
  <c r="H57" i="19"/>
  <c r="E48" i="11"/>
  <c r="G48" i="11" s="1"/>
  <c r="G26" i="11"/>
  <c r="F18" i="20"/>
  <c r="H16" i="20"/>
  <c r="F37" i="20"/>
  <c r="H37" i="20" s="1"/>
  <c r="F25" i="20"/>
  <c r="E34" i="16"/>
  <c r="E33" i="16"/>
  <c r="E32" i="16"/>
  <c r="G15" i="11" l="1"/>
  <c r="E37" i="11"/>
  <c r="G37" i="11" s="1"/>
  <c r="H18" i="20"/>
  <c r="F39" i="20"/>
  <c r="H39" i="20" s="1"/>
  <c r="F46" i="20"/>
  <c r="H46" i="20" s="1"/>
  <c r="H25" i="20"/>
  <c r="E49" i="11"/>
  <c r="G49" i="11" s="1"/>
  <c r="G27" i="11"/>
  <c r="J32" i="18"/>
  <c r="H37" i="18"/>
  <c r="J37" i="18" s="1"/>
  <c r="F44" i="20" l="1"/>
  <c r="F43" i="20"/>
  <c r="H43" i="20" l="1"/>
  <c r="H44" i="20" l="1"/>
  <c r="H22" i="20" l="1"/>
  <c r="H23" i="20" l="1"/>
  <c r="E35" i="15" l="1"/>
  <c r="E33" i="15" l="1"/>
  <c r="E34" i="15"/>
  <c r="G34" i="15" s="1"/>
</calcChain>
</file>

<file path=xl/sharedStrings.xml><?xml version="1.0" encoding="utf-8"?>
<sst xmlns="http://schemas.openxmlformats.org/spreadsheetml/2006/main" count="331" uniqueCount="152">
  <si>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</si>
  <si>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</si>
  <si>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</si>
  <si>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</si>
  <si>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</si>
  <si>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</si>
  <si>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</si>
  <si>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</si>
  <si>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</si>
  <si>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</si>
  <si>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</si>
  <si>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</si>
  <si>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</si>
  <si>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</si>
  <si>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t>1Q2018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</si>
  <si>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</si>
  <si>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</si>
  <si>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</si>
  <si>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</si>
  <si>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</si>
  <si>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</si>
  <si>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</si>
  <si>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</si>
  <si>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</si>
  <si>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</si>
  <si>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</si>
  <si>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</si>
  <si>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</si>
  <si>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</si>
  <si>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</si>
  <si>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</si>
  <si>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</si>
  <si>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</si>
  <si>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</si>
  <si>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t>1Q18</t>
  </si>
  <si>
    <t>1Q17</t>
  </si>
  <si>
    <t>4Q17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</si>
  <si>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</si>
  <si>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</si>
  <si>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</si>
  <si>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</si>
  <si>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</si>
  <si>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</si>
  <si>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</si>
  <si>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</si>
  <si>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</si>
  <si>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</si>
  <si>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</si>
  <si>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</si>
  <si>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</si>
  <si>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</si>
  <si>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</si>
  <si>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</si>
  <si>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</si>
  <si>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</si>
  <si>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</si>
  <si>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</si>
  <si>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</si>
  <si>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</si>
  <si>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</si>
  <si>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</si>
  <si>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</si>
  <si>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</si>
  <si>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</si>
  <si>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</si>
  <si>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</si>
  <si>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</si>
  <si>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</si>
  <si>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</si>
  <si>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</si>
  <si>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</si>
  <si>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Operating profit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</si>
  <si>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</si>
  <si>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</si>
  <si>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</si>
  <si>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</si>
  <si>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</si>
  <si>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</si>
  <si>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</si>
  <si>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</si>
  <si>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</si>
  <si>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</si>
  <si>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</si>
  <si>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</si>
  <si>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</si>
  <si>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</si>
  <si>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</si>
  <si>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</si>
  <si>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</si>
  <si>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</si>
  <si>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</si>
  <si>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</si>
  <si>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</si>
  <si>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</si>
  <si>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</si>
  <si>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</si>
  <si>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</si>
  <si>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</si>
  <si>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</si>
  <si>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</si>
  <si>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</si>
  <si>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</si>
  <si>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</si>
  <si>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</si>
  <si>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</si>
  <si>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</si>
  <si>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</si>
  <si>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</si>
  <si>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</si>
  <si>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</si>
  <si>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</si>
  <si>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</si>
  <si>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</si>
  <si>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</si>
  <si>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</si>
  <si>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</si>
  <si>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</si>
  <si>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</si>
  <si>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</si>
  <si>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</si>
  <si>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</si>
  <si>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</si>
  <si>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</si>
  <si>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</si>
  <si>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</si>
  <si>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</si>
  <si>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</si>
  <si>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</si>
  <si>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</si>
  <si>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</si>
  <si>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</si>
  <si>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</si>
  <si>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</si>
  <si>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</si>
  <si>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</si>
  <si>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</si>
  <si>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</si>
  <si>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</si>
  <si>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</si>
  <si>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</si>
  <si>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</si>
  <si>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</si>
  <si>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</si>
  <si>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</si>
  <si>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</si>
  <si>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</si>
  <si>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</si>
  <si>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</si>
  <si>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</si>
  <si>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</si>
  <si>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r>
      <t>1Q18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</si>
  <si>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1Q17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</si>
</sst>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48708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624421</xdr:colOff>
      <xdr:row>1</xdr:row>
      <xdr:rowOff>21166</xdr:rowOff>
    </xdr:from>
    <xdr:to>
      <xdr:col>2</xdr:col>
      <xdr:colOff>313268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24421" y="211666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 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</v>
      </c>
      <c r="D10" s="3" t="s">
        <v>15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130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x14ac:dyDescent="0.25">
      <c r="B14" s="7"/>
      <c r="C14" s="7"/>
      <c r="D14" s="7"/>
      <c r="E14" s="7"/>
      <c r="F14" s="8" t="s">
        <v>34</v>
      </c>
      <c r="G14" s="9" t="s">
        <v>35</v>
      </c>
      <c r="H14" s="9" t="s">
        <v>0</v>
      </c>
    </row>
    <row r="15" spans="2:8" s="19" customFormat="1" x14ac:dyDescent="0.25">
      <c r="B15" s="19" t="s">
        <v>23</v>
      </c>
      <c r="F15" s="20">
        <f>+'Customer loans'!F15</f>
        <v>41845.212</v>
      </c>
      <c r="G15" s="25">
        <f>+'Customer loans'!G15</f>
        <v>42169.372000000003</v>
      </c>
      <c r="H15" s="35">
        <f>IF(ISERROR($F15/G15),"-",$F15/G15-1)</f>
        <v>-7.6870957433277098E-3</v>
      </c>
    </row>
    <row r="16" spans="2:8" x14ac:dyDescent="0.25">
      <c r="B16" s="21" t="s">
        <v>126</v>
      </c>
      <c r="C16" s="21"/>
      <c r="D16" s="21"/>
      <c r="E16" s="21"/>
      <c r="F16" s="22">
        <v>42779.5</v>
      </c>
      <c r="G16" s="23">
        <f>+'Customer loans'!G16</f>
        <v>43490.527999999998</v>
      </c>
      <c r="H16" s="41">
        <f>IF(ISERROR($F16/G16),"-",$F16/G16-1)</f>
        <v>-1.6349031218935717E-2</v>
      </c>
    </row>
    <row r="17" spans="2:8" x14ac:dyDescent="0.25">
      <c r="B17" s="19" t="s">
        <v>131</v>
      </c>
      <c r="C17" s="19"/>
      <c r="D17" s="19"/>
      <c r="E17" s="19"/>
      <c r="F17" s="20">
        <v>2118.116</v>
      </c>
      <c r="G17" s="25">
        <v>2800.5259999999998</v>
      </c>
      <c r="H17" s="35">
        <f>IF(ISERROR($F17/G17),"-",$F17/G17-1)</f>
        <v>-0.24367208160181331</v>
      </c>
    </row>
    <row r="18" spans="2:8" ht="17.25" x14ac:dyDescent="0.25">
      <c r="B18" s="5" t="s">
        <v>132</v>
      </c>
      <c r="C18" s="5"/>
      <c r="D18" s="5"/>
      <c r="E18" s="5"/>
      <c r="F18" s="69">
        <v>4.7940982924448643E-2</v>
      </c>
      <c r="G18" s="70">
        <v>6.4393929639115902E-2</v>
      </c>
      <c r="H18" s="71" t="str">
        <f>IF(ISERROR($F18-G18),"-",CONCATENATE((FIXED($F18-G18,4)*10000)," pb"))</f>
        <v>-165 pb</v>
      </c>
    </row>
    <row r="19" spans="2:8" x14ac:dyDescent="0.25">
      <c r="B19" s="19" t="s">
        <v>109</v>
      </c>
      <c r="C19" s="19"/>
      <c r="D19" s="19"/>
      <c r="E19" s="19"/>
      <c r="F19" s="20">
        <v>983.63099999999997</v>
      </c>
      <c r="G19" s="25">
        <v>1348.75</v>
      </c>
      <c r="H19" s="35">
        <f>IF(ISERROR($F19/G19),"-",$F19/G19-1)</f>
        <v>-0.27070917516218718</v>
      </c>
    </row>
    <row r="20" spans="2:8" ht="17.25" x14ac:dyDescent="0.25">
      <c r="B20" s="5" t="s">
        <v>133</v>
      </c>
      <c r="C20" s="5"/>
      <c r="D20" s="5"/>
      <c r="E20" s="5"/>
      <c r="F20" s="69">
        <v>0.47685828343686321</v>
      </c>
      <c r="G20" s="70">
        <v>0.48803371058804967</v>
      </c>
      <c r="H20" s="71" t="str">
        <f>IF(ISERROR($F20-G20),"-",CONCATENATE((FIXED($F20-G20,4)*10000)," bp"))</f>
        <v>-112 bp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134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17</v>
      </c>
      <c r="G28" s="4"/>
    </row>
    <row r="29" spans="2:8" x14ac:dyDescent="0.25">
      <c r="B29" s="73" t="s">
        <v>18</v>
      </c>
      <c r="G29" s="4"/>
    </row>
    <row r="30" spans="2:8" x14ac:dyDescent="0.25">
      <c r="B30" s="7"/>
      <c r="C30" s="7"/>
      <c r="D30" s="7"/>
      <c r="E30" s="7"/>
      <c r="F30" s="8" t="s">
        <v>34</v>
      </c>
      <c r="G30" s="9" t="s">
        <v>36</v>
      </c>
      <c r="H30" s="9" t="s">
        <v>0</v>
      </c>
    </row>
    <row r="31" spans="2:8" x14ac:dyDescent="0.25">
      <c r="B31" s="19" t="s">
        <v>23</v>
      </c>
      <c r="C31" s="19"/>
      <c r="D31" s="19"/>
      <c r="E31" s="19"/>
      <c r="F31" s="20">
        <f>+'Customer loans'!F33</f>
        <v>41845.212</v>
      </c>
      <c r="G31" s="25">
        <f>+'Customer loans'!G33</f>
        <v>42006.373</v>
      </c>
      <c r="H31" s="35">
        <f>IF(ISERROR($F31/G31),"-",$F31/G31-1)</f>
        <v>-3.8365845106408392E-3</v>
      </c>
    </row>
    <row r="32" spans="2:8" x14ac:dyDescent="0.25">
      <c r="B32" s="21" t="s">
        <v>126</v>
      </c>
      <c r="C32" s="21"/>
      <c r="D32" s="21"/>
      <c r="E32" s="21"/>
      <c r="F32" s="22">
        <f>+'Customer loans'!F34</f>
        <v>42779.5</v>
      </c>
      <c r="G32" s="23">
        <f>+'Customer loans'!G34</f>
        <v>42914.815000000002</v>
      </c>
      <c r="H32" s="41">
        <f>IF(ISERROR($F32/G32),"-",$F32/G32-1)</f>
        <v>-3.153106916574222E-3</v>
      </c>
    </row>
    <row r="33" spans="2:8" x14ac:dyDescent="0.25">
      <c r="B33" s="19" t="s">
        <v>131</v>
      </c>
      <c r="C33" s="19"/>
      <c r="D33" s="19"/>
      <c r="E33" s="19"/>
      <c r="F33" s="20">
        <f>+F17</f>
        <v>2118.116</v>
      </c>
      <c r="G33" s="25">
        <v>2168.5320000000002</v>
      </c>
      <c r="H33" s="35">
        <f>IF(ISERROR($F33/G33),"-",$F33/G33-1)</f>
        <v>-2.3248907555895038E-2</v>
      </c>
    </row>
    <row r="34" spans="2:8" ht="17.25" x14ac:dyDescent="0.25">
      <c r="B34" s="5" t="s">
        <v>132</v>
      </c>
      <c r="C34" s="5"/>
      <c r="D34" s="5"/>
      <c r="E34" s="5"/>
      <c r="F34" s="69">
        <f>+F18</f>
        <v>4.7940982924448643E-2</v>
      </c>
      <c r="G34" s="70">
        <v>4.8897064965795219E-2</v>
      </c>
      <c r="H34" s="71" t="str">
        <f>IF(ISERROR($F34-G34),"-",CONCATENATE((FIXED($F34-G34,4)*10000)," bp"))</f>
        <v>-10 bp</v>
      </c>
    </row>
    <row r="35" spans="2:8" x14ac:dyDescent="0.25">
      <c r="B35" s="19" t="s">
        <v>109</v>
      </c>
      <c r="C35" s="19"/>
      <c r="D35" s="19"/>
      <c r="E35" s="19"/>
      <c r="F35" s="20">
        <f>+F19</f>
        <v>983.63099999999997</v>
      </c>
      <c r="G35" s="25">
        <v>904.673</v>
      </c>
      <c r="H35" s="35">
        <f>IF(ISERROR($F35/G35),"-",$F35/G35-1)</f>
        <v>8.7277944627506265E-2</v>
      </c>
    </row>
    <row r="36" spans="2:8" ht="17.25" x14ac:dyDescent="0.25">
      <c r="B36" s="5" t="s">
        <v>133</v>
      </c>
      <c r="C36" s="5"/>
      <c r="D36" s="5"/>
      <c r="E36" s="5"/>
      <c r="F36" s="69">
        <f>+F20</f>
        <v>0.47685828343686321</v>
      </c>
      <c r="G36" s="70">
        <v>0.42685209936983776</v>
      </c>
      <c r="H36" s="71" t="str">
        <f>IF(ISERROR($F36-G36),"-",CONCATENATE((FIXED($F36-G36,4)*10000)," bp"))</f>
        <v>500 bp</v>
      </c>
    </row>
    <row r="37" spans="2:8" x14ac:dyDescent="0.25">
      <c r="B37" s="5"/>
    </row>
    <row r="38" spans="2:8" ht="17.25" x14ac:dyDescent="0.25">
      <c r="B38" s="67" t="s">
        <v>134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135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ht="17.25" x14ac:dyDescent="0.25">
      <c r="B14" s="7"/>
      <c r="C14" s="7"/>
      <c r="D14" s="7"/>
      <c r="E14" s="7"/>
      <c r="F14" s="8" t="s">
        <v>150</v>
      </c>
      <c r="G14" s="9" t="s">
        <v>151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136</v>
      </c>
      <c r="C16" s="21"/>
      <c r="D16" s="21"/>
      <c r="E16" s="21"/>
      <c r="F16" s="22">
        <v>2987.8040000000001</v>
      </c>
      <c r="G16" s="23">
        <v>2788.5459999999998</v>
      </c>
      <c r="H16" s="41">
        <f t="shared" si="0"/>
        <v>7.1455877005435875E-2</v>
      </c>
    </row>
    <row r="17" spans="2:8" x14ac:dyDescent="0.25">
      <c r="B17" s="21" t="s">
        <v>137</v>
      </c>
      <c r="C17" s="21"/>
      <c r="D17" s="21"/>
      <c r="E17" s="21"/>
      <c r="F17" s="22">
        <v>50.585000000000001</v>
      </c>
      <c r="G17" s="23">
        <v>45.118000000000002</v>
      </c>
      <c r="H17" s="41">
        <f t="shared" si="0"/>
        <v>0.12117115120351074</v>
      </c>
    </row>
    <row r="18" spans="2:8" x14ac:dyDescent="0.25">
      <c r="B18" s="21" t="s">
        <v>114</v>
      </c>
      <c r="C18" s="21"/>
      <c r="D18" s="21"/>
      <c r="E18" s="21"/>
      <c r="F18" s="22">
        <v>1.8396030507888366</v>
      </c>
      <c r="G18" s="23">
        <v>4.1577410543073317</v>
      </c>
      <c r="H18" s="41">
        <f t="shared" si="0"/>
        <v>-0.55754746946468758</v>
      </c>
    </row>
    <row r="19" spans="2:8" x14ac:dyDescent="0.25">
      <c r="B19" s="21" t="s">
        <v>113</v>
      </c>
      <c r="C19" s="21"/>
      <c r="D19" s="21"/>
      <c r="E19" s="21"/>
      <c r="F19" s="22">
        <v>379.77113000000003</v>
      </c>
      <c r="G19" s="23">
        <v>342.78459999999995</v>
      </c>
      <c r="H19" s="41">
        <f t="shared" si="0"/>
        <v>0.10790020905256559</v>
      </c>
    </row>
    <row r="20" spans="2:8" x14ac:dyDescent="0.25">
      <c r="B20" s="21" t="s">
        <v>98</v>
      </c>
      <c r="C20" s="21"/>
      <c r="D20" s="21"/>
      <c r="E20" s="21"/>
      <c r="F20" s="22">
        <v>-341.089</v>
      </c>
      <c r="G20" s="23">
        <v>-329.35</v>
      </c>
      <c r="H20" s="41">
        <f t="shared" si="0"/>
        <v>3.5642933049946812E-2</v>
      </c>
    </row>
    <row r="21" spans="2:8" x14ac:dyDescent="0.25">
      <c r="B21" s="21" t="s">
        <v>138</v>
      </c>
      <c r="C21" s="21"/>
      <c r="D21" s="21"/>
      <c r="E21" s="21"/>
      <c r="F21" s="22">
        <v>-417.00070699907036</v>
      </c>
      <c r="G21" s="23">
        <v>-298.36968139437516</v>
      </c>
      <c r="H21" s="41">
        <f t="shared" si="0"/>
        <v>0.39759745377042055</v>
      </c>
    </row>
    <row r="22" spans="2:8" x14ac:dyDescent="0.25">
      <c r="B22" s="5" t="s">
        <v>139</v>
      </c>
      <c r="C22" s="5"/>
      <c r="D22" s="5"/>
      <c r="E22" s="5"/>
      <c r="F22" s="17">
        <v>4721.9100260517189</v>
      </c>
      <c r="G22" s="37">
        <v>4612.8866596599328</v>
      </c>
      <c r="H22" s="38">
        <f t="shared" si="0"/>
        <v>2.3634520948716098E-2</v>
      </c>
    </row>
    <row r="23" spans="2:8" x14ac:dyDescent="0.25">
      <c r="B23" s="5" t="s">
        <v>140</v>
      </c>
      <c r="C23" s="5"/>
      <c r="D23" s="5"/>
      <c r="E23" s="5"/>
      <c r="F23" s="17">
        <v>4721.9100260517189</v>
      </c>
      <c r="G23" s="37">
        <v>4612.8866596599328</v>
      </c>
      <c r="H23" s="38">
        <f t="shared" si="0"/>
        <v>2.3634520948716098E-2</v>
      </c>
    </row>
    <row r="24" spans="2:8" x14ac:dyDescent="0.25">
      <c r="B24" s="5" t="s">
        <v>141</v>
      </c>
      <c r="C24" s="5"/>
      <c r="D24" s="5"/>
      <c r="E24" s="5"/>
      <c r="F24" s="17">
        <v>4721.9100260517189</v>
      </c>
      <c r="G24" s="37">
        <v>4612.8866596599328</v>
      </c>
      <c r="H24" s="38">
        <f t="shared" si="0"/>
        <v>2.3634520948716098E-2</v>
      </c>
    </row>
    <row r="25" spans="2:8" x14ac:dyDescent="0.25">
      <c r="B25" s="5" t="s">
        <v>142</v>
      </c>
      <c r="C25" s="5"/>
      <c r="D25" s="5"/>
      <c r="E25" s="5"/>
      <c r="F25" s="17">
        <v>29591.594593350856</v>
      </c>
      <c r="G25" s="37">
        <v>30309.78346213347</v>
      </c>
      <c r="H25" s="38">
        <f t="shared" si="0"/>
        <v>-2.3694952149026727E-2</v>
      </c>
    </row>
    <row r="26" spans="2:8" ht="17.25" x14ac:dyDescent="0.3">
      <c r="B26" s="6" t="s">
        <v>143</v>
      </c>
      <c r="C26" s="6"/>
      <c r="D26" s="6"/>
      <c r="E26" s="6"/>
      <c r="F26" s="42">
        <f>+F22/F25</f>
        <v>0.15956929969271472</v>
      </c>
      <c r="G26" s="43">
        <f>+G22/G25</f>
        <v>0.15219134328105283</v>
      </c>
      <c r="H26" s="44" t="str">
        <f>IF(ISERROR($F26-G26),"-",CONCATENATE((FIXED($F26-G26,4)*10000)," bp"))</f>
        <v>74 bp</v>
      </c>
    </row>
    <row r="27" spans="2:8" ht="17.25" x14ac:dyDescent="0.3">
      <c r="B27" s="6" t="s">
        <v>144</v>
      </c>
      <c r="C27" s="6"/>
      <c r="D27" s="6"/>
      <c r="E27" s="6"/>
      <c r="F27" s="42">
        <f>+F23/F25</f>
        <v>0.15956929969271472</v>
      </c>
      <c r="G27" s="43">
        <f>+G23/G25</f>
        <v>0.15219134328105283</v>
      </c>
      <c r="H27" s="44" t="str">
        <f t="shared" ref="H27:H29" si="1">IF(ISERROR($F27-G27),"-",CONCATENATE((FIXED($F27-G27,4)*10000)," bp"))</f>
        <v>74 bp</v>
      </c>
    </row>
    <row r="28" spans="2:8" ht="17.25" x14ac:dyDescent="0.3">
      <c r="B28" s="6" t="s">
        <v>145</v>
      </c>
      <c r="C28" s="6"/>
      <c r="D28" s="6"/>
      <c r="E28" s="6"/>
      <c r="F28" s="42">
        <f>+F24/F25</f>
        <v>0.15956929969271472</v>
      </c>
      <c r="G28" s="43">
        <f>+G24/G25</f>
        <v>0.15219134328105283</v>
      </c>
      <c r="H28" s="44" t="str">
        <f t="shared" si="1"/>
        <v>74 bp</v>
      </c>
    </row>
    <row r="29" spans="2:8" ht="17.25" x14ac:dyDescent="0.3">
      <c r="B29" s="6" t="s">
        <v>43</v>
      </c>
      <c r="C29" s="6"/>
      <c r="D29" s="6"/>
      <c r="E29" s="6"/>
      <c r="F29" s="42">
        <v>8.2007077926563088E-2</v>
      </c>
      <c r="G29" s="43">
        <v>7.9572777564604014E-2</v>
      </c>
      <c r="H29" s="44" t="str">
        <f t="shared" si="1"/>
        <v>24 bp</v>
      </c>
    </row>
    <row r="30" spans="2:8" x14ac:dyDescent="0.25">
      <c r="B30" s="50" t="s">
        <v>9</v>
      </c>
      <c r="C30" s="21"/>
      <c r="D30" s="21"/>
      <c r="E30" s="21"/>
      <c r="F30" s="51"/>
      <c r="G30" s="21"/>
      <c r="H30" s="52"/>
    </row>
    <row r="31" spans="2:8" x14ac:dyDescent="0.25">
      <c r="B31" s="53" t="s">
        <v>146</v>
      </c>
      <c r="C31" s="54"/>
      <c r="D31" s="54"/>
      <c r="E31" s="54"/>
      <c r="F31" s="55">
        <v>0.15420681218146318</v>
      </c>
      <c r="G31" s="78">
        <v>0.14846394676583535</v>
      </c>
      <c r="H31" s="56" t="str">
        <f>IF(ISERROR($F31-G31),"-",CONCATENATE((FIXED($F31-G31,4)*10000)," bp"))</f>
        <v>57 bp</v>
      </c>
    </row>
    <row r="32" spans="2:8" x14ac:dyDescent="0.25">
      <c r="B32" s="50" t="s">
        <v>147</v>
      </c>
      <c r="C32" s="21"/>
      <c r="D32" s="21"/>
      <c r="E32" s="21"/>
      <c r="F32" s="57">
        <v>0.15420681218146318</v>
      </c>
      <c r="G32" s="58">
        <v>0.14846394676583535</v>
      </c>
      <c r="H32" s="59" t="str">
        <f>IF(ISERROR($F32-G32),"-",CONCATENATE((FIXED($F32-G32,4)*10000)," bp"))</f>
        <v>57 bp</v>
      </c>
    </row>
    <row r="33" spans="2:8" x14ac:dyDescent="0.25">
      <c r="B33" s="50" t="s">
        <v>148</v>
      </c>
      <c r="C33" s="21"/>
      <c r="D33" s="21"/>
      <c r="E33" s="21"/>
      <c r="F33" s="57">
        <v>7.9369767183369355E-2</v>
      </c>
      <c r="G33" s="58">
        <v>7.8003940473314742E-2</v>
      </c>
      <c r="H33" s="59" t="str">
        <f>IF(ISERROR($F33-G33),"-",CONCATENATE((FIXED($F33-G33,4)*10000)," bp"))</f>
        <v>14 bp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ht="17.25" x14ac:dyDescent="0.25">
      <c r="B35" s="67" t="s">
        <v>149</v>
      </c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33</v>
      </c>
      <c r="G40" s="4"/>
    </row>
    <row r="41" spans="2:8" x14ac:dyDescent="0.25">
      <c r="B41" s="73" t="s">
        <v>18</v>
      </c>
      <c r="G41" s="4"/>
    </row>
    <row r="42" spans="2:8" ht="17.25" x14ac:dyDescent="0.25">
      <c r="B42" s="7"/>
      <c r="C42" s="7"/>
      <c r="D42" s="7"/>
      <c r="E42" s="7"/>
      <c r="F42" s="8" t="s">
        <v>150</v>
      </c>
      <c r="G42" s="9" t="s">
        <v>36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2">+F15</f>
        <v>2060</v>
      </c>
      <c r="G43" s="23">
        <v>2060</v>
      </c>
      <c r="H43" s="41">
        <f t="shared" ref="H43:H53" si="3">IF(ISERROR($F43/G43),"-",$F43/G43-1)</f>
        <v>0</v>
      </c>
    </row>
    <row r="44" spans="2:8" x14ac:dyDescent="0.25">
      <c r="B44" s="21" t="s">
        <v>136</v>
      </c>
      <c r="C44" s="21"/>
      <c r="D44" s="21"/>
      <c r="E44" s="21"/>
      <c r="F44" s="22">
        <f t="shared" si="2"/>
        <v>2987.8040000000001</v>
      </c>
      <c r="G44" s="23">
        <v>2785.076</v>
      </c>
      <c r="H44" s="41">
        <f t="shared" si="3"/>
        <v>7.2790832278903705E-2</v>
      </c>
    </row>
    <row r="45" spans="2:8" x14ac:dyDescent="0.25">
      <c r="B45" s="21" t="s">
        <v>137</v>
      </c>
      <c r="C45" s="21"/>
      <c r="D45" s="21"/>
      <c r="E45" s="21"/>
      <c r="F45" s="22">
        <f t="shared" si="2"/>
        <v>50.585000000000001</v>
      </c>
      <c r="G45" s="23">
        <v>150.977</v>
      </c>
      <c r="H45" s="41">
        <f t="shared" si="3"/>
        <v>-0.66494896573650286</v>
      </c>
    </row>
    <row r="46" spans="2:8" x14ac:dyDescent="0.25">
      <c r="B46" s="21" t="s">
        <v>114</v>
      </c>
      <c r="C46" s="21"/>
      <c r="D46" s="21"/>
      <c r="E46" s="21"/>
      <c r="F46" s="22">
        <f t="shared" si="2"/>
        <v>1.8396030507888366</v>
      </c>
      <c r="G46" s="23">
        <v>2.679391774861791</v>
      </c>
      <c r="H46" s="41">
        <f t="shared" si="3"/>
        <v>-0.31342513325296473</v>
      </c>
    </row>
    <row r="47" spans="2:8" x14ac:dyDescent="0.25">
      <c r="B47" s="21" t="s">
        <v>113</v>
      </c>
      <c r="C47" s="21"/>
      <c r="D47" s="21"/>
      <c r="E47" s="21"/>
      <c r="F47" s="22">
        <f t="shared" si="2"/>
        <v>379.77113000000003</v>
      </c>
      <c r="G47" s="23">
        <v>335.44940000000003</v>
      </c>
      <c r="H47" s="41">
        <f t="shared" si="3"/>
        <v>0.13212642502863314</v>
      </c>
    </row>
    <row r="48" spans="2:8" x14ac:dyDescent="0.25">
      <c r="B48" s="21" t="s">
        <v>98</v>
      </c>
      <c r="C48" s="21"/>
      <c r="D48" s="21"/>
      <c r="E48" s="21"/>
      <c r="F48" s="22">
        <f t="shared" si="2"/>
        <v>-341.089</v>
      </c>
      <c r="G48" s="23">
        <v>-337.61900000000003</v>
      </c>
      <c r="H48" s="41">
        <f t="shared" si="3"/>
        <v>1.0277857585029082E-2</v>
      </c>
    </row>
    <row r="49" spans="2:8" x14ac:dyDescent="0.25">
      <c r="B49" s="21" t="s">
        <v>138</v>
      </c>
      <c r="C49" s="21"/>
      <c r="D49" s="21"/>
      <c r="E49" s="21"/>
      <c r="F49" s="22">
        <f t="shared" si="2"/>
        <v>-417.00070699907036</v>
      </c>
      <c r="G49" s="23">
        <v>-316.66472140450009</v>
      </c>
      <c r="H49" s="41">
        <f t="shared" si="3"/>
        <v>0.31685242722824003</v>
      </c>
    </row>
    <row r="50" spans="2:8" x14ac:dyDescent="0.25">
      <c r="B50" s="5" t="s">
        <v>139</v>
      </c>
      <c r="C50" s="5"/>
      <c r="D50" s="5"/>
      <c r="E50" s="5"/>
      <c r="F50" s="17">
        <f t="shared" si="2"/>
        <v>4721.9100260517189</v>
      </c>
      <c r="G50" s="37">
        <v>4679.8980703703619</v>
      </c>
      <c r="H50" s="38">
        <f t="shared" si="3"/>
        <v>8.9771091270867132E-3</v>
      </c>
    </row>
    <row r="51" spans="2:8" x14ac:dyDescent="0.25">
      <c r="B51" s="5" t="s">
        <v>140</v>
      </c>
      <c r="C51" s="5"/>
      <c r="D51" s="5"/>
      <c r="E51" s="5"/>
      <c r="F51" s="17">
        <f t="shared" si="2"/>
        <v>4721.9100260517189</v>
      </c>
      <c r="G51" s="37">
        <v>4679.8980703703619</v>
      </c>
      <c r="H51" s="38">
        <f t="shared" si="3"/>
        <v>8.9771091270867132E-3</v>
      </c>
    </row>
    <row r="52" spans="2:8" x14ac:dyDescent="0.25">
      <c r="B52" s="5" t="s">
        <v>141</v>
      </c>
      <c r="C52" s="5"/>
      <c r="D52" s="5"/>
      <c r="E52" s="5"/>
      <c r="F52" s="17">
        <f t="shared" si="2"/>
        <v>4721.9100260517189</v>
      </c>
      <c r="G52" s="37">
        <v>4679.8980703703619</v>
      </c>
      <c r="H52" s="38">
        <f t="shared" si="3"/>
        <v>8.9771091270867132E-3</v>
      </c>
    </row>
    <row r="53" spans="2:8" x14ac:dyDescent="0.25">
      <c r="B53" s="5" t="s">
        <v>142</v>
      </c>
      <c r="C53" s="5"/>
      <c r="D53" s="5"/>
      <c r="E53" s="5"/>
      <c r="F53" s="17">
        <f t="shared" si="2"/>
        <v>29591.594593350856</v>
      </c>
      <c r="G53" s="37">
        <v>29789.552659469708</v>
      </c>
      <c r="H53" s="38">
        <f t="shared" si="3"/>
        <v>-6.6452178178622034E-3</v>
      </c>
    </row>
    <row r="54" spans="2:8" ht="17.25" x14ac:dyDescent="0.3">
      <c r="B54" s="6" t="s">
        <v>143</v>
      </c>
      <c r="C54" s="6"/>
      <c r="D54" s="6"/>
      <c r="E54" s="6"/>
      <c r="F54" s="42">
        <f t="shared" si="2"/>
        <v>0.15956929969271472</v>
      </c>
      <c r="G54" s="43">
        <f>+G50/G53</f>
        <v>0.1570986353459955</v>
      </c>
      <c r="H54" s="44" t="str">
        <f>IF(ISERROR($F54-G54),"-",CONCATENATE((FIXED($F54-G54,4)*10000)," bp"))</f>
        <v>25 bp</v>
      </c>
    </row>
    <row r="55" spans="2:8" ht="17.25" x14ac:dyDescent="0.3">
      <c r="B55" s="6" t="s">
        <v>144</v>
      </c>
      <c r="C55" s="6"/>
      <c r="D55" s="6"/>
      <c r="E55" s="6"/>
      <c r="F55" s="42">
        <f t="shared" si="2"/>
        <v>0.15956929969271472</v>
      </c>
      <c r="G55" s="43">
        <f>+G51/G53</f>
        <v>0.1570986353459955</v>
      </c>
      <c r="H55" s="44" t="str">
        <f t="shared" ref="H55:H57" si="4">IF(ISERROR($F55-G55),"-",CONCATENATE((FIXED($F55-G55,4)*10000)," bp"))</f>
        <v>25 bp</v>
      </c>
    </row>
    <row r="56" spans="2:8" ht="17.25" x14ac:dyDescent="0.3">
      <c r="B56" s="6" t="s">
        <v>145</v>
      </c>
      <c r="C56" s="6"/>
      <c r="D56" s="6"/>
      <c r="E56" s="6"/>
      <c r="F56" s="42">
        <f t="shared" si="2"/>
        <v>0.15956929969271472</v>
      </c>
      <c r="G56" s="43">
        <f>+G52/G53</f>
        <v>0.1570986353459955</v>
      </c>
      <c r="H56" s="44" t="str">
        <f t="shared" si="4"/>
        <v>25 bp</v>
      </c>
    </row>
    <row r="57" spans="2:8" ht="17.25" x14ac:dyDescent="0.3">
      <c r="B57" s="6" t="s">
        <v>43</v>
      </c>
      <c r="C57" s="6"/>
      <c r="D57" s="6"/>
      <c r="E57" s="6"/>
      <c r="F57" s="42">
        <f t="shared" si="2"/>
        <v>8.2007077926563088E-2</v>
      </c>
      <c r="G57" s="43">
        <v>8.0731580261962754E-2</v>
      </c>
      <c r="H57" s="44" t="str">
        <f t="shared" si="4"/>
        <v>13 bp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146</v>
      </c>
      <c r="C59" s="54"/>
      <c r="D59" s="54"/>
      <c r="E59" s="54"/>
      <c r="F59" s="55">
        <f>+F31</f>
        <v>0.15420681218146318</v>
      </c>
      <c r="G59" s="78">
        <v>0.15320943844257678</v>
      </c>
      <c r="H59" s="56" t="str">
        <f>IF(ISERROR($F59-G59),"-",CONCATENATE((FIXED($F59-G59,4)*10000)," bp"))</f>
        <v>10 bp</v>
      </c>
    </row>
    <row r="60" spans="2:8" x14ac:dyDescent="0.25">
      <c r="B60" s="50" t="s">
        <v>147</v>
      </c>
      <c r="C60" s="21"/>
      <c r="D60" s="21"/>
      <c r="E60" s="21"/>
      <c r="F60" s="57">
        <f>+F32</f>
        <v>0.15420681218146318</v>
      </c>
      <c r="G60" s="58">
        <v>0.15320943844257678</v>
      </c>
      <c r="H60" s="59" t="str">
        <f>IF(ISERROR($F60-G60),"-",CONCATENATE((FIXED($F60-G60,4)*10000)," bp"))</f>
        <v>10 bp</v>
      </c>
    </row>
    <row r="61" spans="2:8" x14ac:dyDescent="0.25">
      <c r="B61" s="50" t="s">
        <v>148</v>
      </c>
      <c r="C61" s="21"/>
      <c r="D61" s="21"/>
      <c r="E61" s="21"/>
      <c r="F61" s="57">
        <f>+F33</f>
        <v>7.9369767183369355E-2</v>
      </c>
      <c r="G61" s="58">
        <v>7.9095294773285016E-2</v>
      </c>
      <c r="H61" s="59" t="str">
        <f>IF(ISERROR($F61-G61),"-",CONCATENATE((FIXED($F61-G61,4)*10000)," bp"))</f>
        <v>3 bp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149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16</v>
      </c>
    </row>
    <row r="12" spans="2:7" ht="17.25" x14ac:dyDescent="0.3">
      <c r="B12" s="6" t="s">
        <v>17</v>
      </c>
      <c r="F12" s="4"/>
    </row>
    <row r="13" spans="2:7" x14ac:dyDescent="0.25">
      <c r="B13" s="73" t="s">
        <v>18</v>
      </c>
      <c r="F13" s="4"/>
    </row>
    <row r="14" spans="2:7" x14ac:dyDescent="0.25">
      <c r="B14" s="7"/>
      <c r="C14" s="7"/>
      <c r="D14" s="7"/>
      <c r="E14" s="8" t="s">
        <v>34</v>
      </c>
      <c r="F14" s="9" t="s">
        <v>35</v>
      </c>
      <c r="G14" s="9" t="s">
        <v>0</v>
      </c>
    </row>
    <row r="15" spans="2:7" s="5" customFormat="1" x14ac:dyDescent="0.25">
      <c r="B15" s="60" t="s">
        <v>19</v>
      </c>
      <c r="C15" s="60"/>
      <c r="D15" s="60"/>
      <c r="E15" s="47">
        <f>+'Balance sheet'!F39</f>
        <v>57147.984000000004</v>
      </c>
      <c r="F15" s="45">
        <f>+'Balance sheet'!G39</f>
        <v>57117.916000000005</v>
      </c>
      <c r="G15" s="38">
        <f t="shared" ref="G15:G28" si="0">IF(ISERROR($E15/F15),"-",$E15/F15-1)</f>
        <v>5.2641976643541533E-4</v>
      </c>
    </row>
    <row r="16" spans="2:7" x14ac:dyDescent="0.25">
      <c r="B16" s="1" t="s">
        <v>20</v>
      </c>
      <c r="C16" s="19"/>
      <c r="D16" s="19"/>
      <c r="E16" s="48">
        <v>3323.223</v>
      </c>
      <c r="F16" s="28">
        <v>2461.2559999999999</v>
      </c>
      <c r="G16" s="29">
        <f t="shared" si="0"/>
        <v>0.3502142808387263</v>
      </c>
    </row>
    <row r="17" spans="2:7" x14ac:dyDescent="0.25">
      <c r="B17" s="1" t="s">
        <v>21</v>
      </c>
      <c r="E17" s="48">
        <f>+'Balance sheet'!F18+'Balance sheet'!F21+'Balance sheet'!F24</f>
        <v>1355.8409999999999</v>
      </c>
      <c r="F17" s="28">
        <f>+'Balance sheet'!G18+'Balance sheet'!G21+'Balance sheet'!G24</f>
        <v>1678.442</v>
      </c>
      <c r="G17" s="29">
        <f t="shared" si="0"/>
        <v>-0.19220264983836211</v>
      </c>
    </row>
    <row r="18" spans="2:7" x14ac:dyDescent="0.25">
      <c r="B18" s="1" t="s">
        <v>22</v>
      </c>
      <c r="E18" s="48">
        <f>+'Balance sheet'!F33</f>
        <v>514.51800000000003</v>
      </c>
      <c r="F18" s="28">
        <f>+'Balance sheet'!$G$33</f>
        <v>499.01</v>
      </c>
      <c r="G18" s="29">
        <f t="shared" si="0"/>
        <v>3.1077533516362443E-2</v>
      </c>
    </row>
    <row r="19" spans="2:7" s="5" customFormat="1" x14ac:dyDescent="0.25">
      <c r="B19" s="5" t="s">
        <v>23</v>
      </c>
      <c r="E19" s="47">
        <f>+'Balance sheet'!F29</f>
        <v>41845.212</v>
      </c>
      <c r="F19" s="45">
        <f>+'Balance sheet'!$G$29</f>
        <v>42169.372000000003</v>
      </c>
      <c r="G19" s="38">
        <f t="shared" si="0"/>
        <v>-7.6870957433277098E-3</v>
      </c>
    </row>
    <row r="20" spans="2:7" x14ac:dyDescent="0.25">
      <c r="B20" s="1" t="s">
        <v>24</v>
      </c>
      <c r="E20" s="48">
        <v>3090.192</v>
      </c>
      <c r="F20" s="28">
        <v>3267.8589999999999</v>
      </c>
      <c r="G20" s="29">
        <f t="shared" si="0"/>
        <v>-5.4368012818178491E-2</v>
      </c>
    </row>
    <row r="21" spans="2:7" s="21" customFormat="1" x14ac:dyDescent="0.25">
      <c r="B21" s="21" t="s">
        <v>25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26</v>
      </c>
      <c r="C22" s="5"/>
      <c r="D22" s="5"/>
      <c r="E22" s="47">
        <f>+'Balance sheet'!$F$44</f>
        <v>41707.294999999998</v>
      </c>
      <c r="F22" s="45">
        <f>+'Balance sheet'!$G$44</f>
        <v>40880.476000000002</v>
      </c>
      <c r="G22" s="38">
        <f t="shared" si="0"/>
        <v>2.0225278198815477E-2</v>
      </c>
    </row>
    <row r="23" spans="2:7" s="5" customFormat="1" x14ac:dyDescent="0.25">
      <c r="B23" s="21" t="s">
        <v>27</v>
      </c>
      <c r="C23" s="21"/>
      <c r="D23" s="21"/>
      <c r="E23" s="49">
        <v>1486.4222208599999</v>
      </c>
      <c r="F23" s="46">
        <v>1882.2420211099998</v>
      </c>
      <c r="G23" s="41">
        <f t="shared" si="0"/>
        <v>-0.21029166058920312</v>
      </c>
    </row>
    <row r="24" spans="2:7" x14ac:dyDescent="0.25">
      <c r="B24" s="54" t="s">
        <v>28</v>
      </c>
      <c r="C24" s="54"/>
      <c r="D24" s="54"/>
      <c r="E24" s="61">
        <f>+E22-E23</f>
        <v>40220.872779140002</v>
      </c>
      <c r="F24" s="62">
        <f>+F22-F23</f>
        <v>38998.233978889999</v>
      </c>
      <c r="G24" s="63">
        <f t="shared" si="0"/>
        <v>3.1351132487482003E-2</v>
      </c>
    </row>
    <row r="25" spans="2:7" s="19" customFormat="1" x14ac:dyDescent="0.25">
      <c r="B25" s="1" t="s">
        <v>29</v>
      </c>
      <c r="C25" s="1"/>
      <c r="D25" s="1"/>
      <c r="E25" s="48">
        <v>19461.609094179999</v>
      </c>
      <c r="F25" s="28">
        <v>17869.002059859999</v>
      </c>
      <c r="G25" s="29">
        <f t="shared" si="0"/>
        <v>8.9126803443464242E-2</v>
      </c>
    </row>
    <row r="26" spans="2:7" x14ac:dyDescent="0.25">
      <c r="B26" s="5" t="s">
        <v>30</v>
      </c>
      <c r="C26" s="5"/>
      <c r="D26" s="5"/>
      <c r="E26" s="47">
        <f>+E24+E25</f>
        <v>59682.481873320001</v>
      </c>
      <c r="F26" s="45">
        <f>+F24+F25</f>
        <v>56867.236038749994</v>
      </c>
      <c r="G26" s="38">
        <f t="shared" si="0"/>
        <v>4.9505585828923726E-2</v>
      </c>
    </row>
    <row r="27" spans="2:7" s="5" customFormat="1" x14ac:dyDescent="0.25">
      <c r="B27" s="1" t="s">
        <v>31</v>
      </c>
      <c r="C27" s="1"/>
      <c r="D27" s="1"/>
      <c r="E27" s="48">
        <v>102337.59887332001</v>
      </c>
      <c r="F27" s="28">
        <v>100236.71103874999</v>
      </c>
      <c r="G27" s="29">
        <f t="shared" si="0"/>
        <v>2.0959265450737341E-2</v>
      </c>
    </row>
    <row r="28" spans="2:7" x14ac:dyDescent="0.25">
      <c r="B28" s="5" t="s">
        <v>32</v>
      </c>
      <c r="C28" s="5"/>
      <c r="D28" s="5"/>
      <c r="E28" s="47">
        <f>+'Balance sheet'!F53</f>
        <v>5184.5290000000005</v>
      </c>
      <c r="F28" s="45">
        <f>+'Balance sheet'!$G$53</f>
        <v>4965.7520000000004</v>
      </c>
      <c r="G28" s="38">
        <f t="shared" si="0"/>
        <v>4.405717401916176E-2</v>
      </c>
    </row>
    <row r="29" spans="2:7" x14ac:dyDescent="0.25">
      <c r="E29" s="12"/>
    </row>
    <row r="34" spans="2:7" ht="17.25" x14ac:dyDescent="0.3">
      <c r="B34" s="6" t="s">
        <v>33</v>
      </c>
      <c r="F34" s="4"/>
    </row>
    <row r="35" spans="2:7" x14ac:dyDescent="0.25">
      <c r="B35" s="73" t="s">
        <v>18</v>
      </c>
      <c r="F35" s="4"/>
    </row>
    <row r="36" spans="2:7" x14ac:dyDescent="0.25">
      <c r="B36" s="7"/>
      <c r="C36" s="7"/>
      <c r="D36" s="7"/>
      <c r="E36" s="8" t="s">
        <v>34</v>
      </c>
      <c r="F36" s="9" t="s">
        <v>36</v>
      </c>
      <c r="G36" s="9" t="s">
        <v>0</v>
      </c>
    </row>
    <row r="37" spans="2:7" x14ac:dyDescent="0.25">
      <c r="B37" s="60" t="s">
        <v>19</v>
      </c>
      <c r="C37" s="60"/>
      <c r="D37" s="60"/>
      <c r="E37" s="47">
        <f>+E15</f>
        <v>57147.984000000004</v>
      </c>
      <c r="F37" s="45">
        <f>+'Balance sheet'!I39</f>
        <v>57441.741000000002</v>
      </c>
      <c r="G37" s="38">
        <f t="shared" ref="G37:G50" si="1">IF(ISERROR($E37/F37),"-",$E37/F37-1)</f>
        <v>-5.1139988949847615E-3</v>
      </c>
    </row>
    <row r="38" spans="2:7" x14ac:dyDescent="0.25">
      <c r="B38" s="1" t="s">
        <v>20</v>
      </c>
      <c r="C38" s="19"/>
      <c r="D38" s="19"/>
      <c r="E38" s="48">
        <f>+E16</f>
        <v>3323.223</v>
      </c>
      <c r="F38" s="28">
        <v>2294.8620000000001</v>
      </c>
      <c r="G38" s="29">
        <f t="shared" si="1"/>
        <v>0.44811452714803757</v>
      </c>
    </row>
    <row r="39" spans="2:7" x14ac:dyDescent="0.25">
      <c r="B39" s="1" t="s">
        <v>21</v>
      </c>
      <c r="E39" s="48">
        <f t="shared" ref="E39:E50" si="2">+E17</f>
        <v>1355.8409999999999</v>
      </c>
      <c r="F39" s="28">
        <f>+'Balance sheet'!I18+'Balance sheet'!I21+'Balance sheet'!$I$24</f>
        <v>1378.6690000000001</v>
      </c>
      <c r="G39" s="29">
        <f t="shared" si="1"/>
        <v>-1.6557999055611061E-2</v>
      </c>
    </row>
    <row r="40" spans="2:7" x14ac:dyDescent="0.25">
      <c r="B40" s="1" t="s">
        <v>22</v>
      </c>
      <c r="E40" s="48">
        <f t="shared" si="2"/>
        <v>514.51800000000003</v>
      </c>
      <c r="F40" s="28">
        <f>+'Balance sheet'!$I$33</f>
        <v>514.52200000000005</v>
      </c>
      <c r="G40" s="29">
        <f t="shared" si="1"/>
        <v>-7.7742059620966586E-6</v>
      </c>
    </row>
    <row r="41" spans="2:7" x14ac:dyDescent="0.25">
      <c r="B41" s="5" t="s">
        <v>23</v>
      </c>
      <c r="C41" s="5"/>
      <c r="D41" s="5"/>
      <c r="E41" s="47">
        <f t="shared" si="2"/>
        <v>41845.212</v>
      </c>
      <c r="F41" s="45">
        <f>+'Balance sheet'!$I$29</f>
        <v>42006.373</v>
      </c>
      <c r="G41" s="38">
        <f t="shared" si="1"/>
        <v>-3.8365845106408392E-3</v>
      </c>
    </row>
    <row r="42" spans="2:7" x14ac:dyDescent="0.25">
      <c r="B42" s="1" t="s">
        <v>24</v>
      </c>
      <c r="E42" s="48">
        <f t="shared" si="2"/>
        <v>3090.192</v>
      </c>
      <c r="F42" s="28">
        <v>3138.9430000000002</v>
      </c>
      <c r="G42" s="29">
        <f t="shared" si="1"/>
        <v>-1.553102429703257E-2</v>
      </c>
    </row>
    <row r="43" spans="2:7" s="21" customFormat="1" x14ac:dyDescent="0.25">
      <c r="B43" s="21" t="s">
        <v>25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26</v>
      </c>
      <c r="C44" s="5"/>
      <c r="D44" s="5"/>
      <c r="E44" s="47">
        <f t="shared" si="2"/>
        <v>41707.294999999998</v>
      </c>
      <c r="F44" s="45">
        <f>+'Balance sheet'!$I$44</f>
        <v>41812.552000000003</v>
      </c>
      <c r="G44" s="38">
        <f t="shared" si="1"/>
        <v>-2.5173541189259518E-3</v>
      </c>
    </row>
    <row r="45" spans="2:7" x14ac:dyDescent="0.25">
      <c r="B45" s="21" t="s">
        <v>27</v>
      </c>
      <c r="C45" s="21"/>
      <c r="D45" s="21"/>
      <c r="E45" s="49">
        <f t="shared" si="2"/>
        <v>1486.4222208599999</v>
      </c>
      <c r="F45" s="46">
        <v>1685.9796654599998</v>
      </c>
      <c r="G45" s="41">
        <f t="shared" si="1"/>
        <v>-0.11836290121894966</v>
      </c>
    </row>
    <row r="46" spans="2:7" x14ac:dyDescent="0.25">
      <c r="B46" s="54" t="s">
        <v>28</v>
      </c>
      <c r="C46" s="54"/>
      <c r="D46" s="54"/>
      <c r="E46" s="61">
        <f t="shared" si="2"/>
        <v>40220.872779140002</v>
      </c>
      <c r="F46" s="62">
        <f>+F44-F45</f>
        <v>40126.572334540004</v>
      </c>
      <c r="G46" s="63">
        <f t="shared" si="1"/>
        <v>2.3500747538016675E-3</v>
      </c>
    </row>
    <row r="47" spans="2:7" x14ac:dyDescent="0.25">
      <c r="B47" s="1" t="s">
        <v>29</v>
      </c>
      <c r="E47" s="48">
        <f t="shared" si="2"/>
        <v>19461.609094179999</v>
      </c>
      <c r="F47" s="28">
        <v>19267.462245180002</v>
      </c>
      <c r="G47" s="29">
        <f t="shared" si="1"/>
        <v>1.0076409987442192E-2</v>
      </c>
    </row>
    <row r="48" spans="2:7" x14ac:dyDescent="0.25">
      <c r="B48" s="5" t="s">
        <v>30</v>
      </c>
      <c r="C48" s="5"/>
      <c r="D48" s="5"/>
      <c r="E48" s="47">
        <f t="shared" si="2"/>
        <v>59682.481873320001</v>
      </c>
      <c r="F48" s="45">
        <f>+F46+F47</f>
        <v>59394.034579720006</v>
      </c>
      <c r="G48" s="38">
        <f t="shared" si="1"/>
        <v>4.8565027723925791E-3</v>
      </c>
    </row>
    <row r="49" spans="2:7" x14ac:dyDescent="0.25">
      <c r="B49" s="1" t="s">
        <v>31</v>
      </c>
      <c r="E49" s="48">
        <f t="shared" si="2"/>
        <v>102337.59887332001</v>
      </c>
      <c r="F49" s="28">
        <v>102165.06757972001</v>
      </c>
      <c r="G49" s="29">
        <f t="shared" si="1"/>
        <v>1.6887503496767486E-3</v>
      </c>
    </row>
    <row r="50" spans="2:7" x14ac:dyDescent="0.25">
      <c r="B50" s="5" t="s">
        <v>32</v>
      </c>
      <c r="C50" s="5"/>
      <c r="D50" s="5"/>
      <c r="E50" s="47">
        <f t="shared" si="2"/>
        <v>5184.5290000000005</v>
      </c>
      <c r="F50" s="45">
        <f>+'Balance sheet'!$I$53</f>
        <v>5031.6080000000002</v>
      </c>
      <c r="G50" s="38">
        <f t="shared" si="1"/>
        <v>3.0392073468362479E-2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37</v>
      </c>
    </row>
    <row r="12" spans="2:7" ht="17.25" x14ac:dyDescent="0.3">
      <c r="B12" s="6" t="s">
        <v>17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34</v>
      </c>
      <c r="F14" s="9" t="s">
        <v>35</v>
      </c>
      <c r="G14" s="9" t="s">
        <v>0</v>
      </c>
    </row>
    <row r="15" spans="2:7" x14ac:dyDescent="0.25">
      <c r="B15" s="1" t="s">
        <v>1</v>
      </c>
      <c r="E15" s="30">
        <v>6.1899999999999997E-2</v>
      </c>
      <c r="F15" s="31">
        <v>5.3332512636619603E-2</v>
      </c>
      <c r="G15" s="32" t="str">
        <f>IF(ISERROR($E15-F15),"-",CONCATENATE((FIXED($E15-F15,4)*10000)," bp"))</f>
        <v>86 bp</v>
      </c>
    </row>
    <row r="16" spans="2:7" x14ac:dyDescent="0.25">
      <c r="B16" s="1" t="s">
        <v>4</v>
      </c>
      <c r="E16" s="30">
        <v>6.6600000000000006E-2</v>
      </c>
      <c r="F16" s="31">
        <v>5.7383402858085367E-2</v>
      </c>
      <c r="G16" s="32" t="str">
        <f t="shared" ref="G16:G19" si="0">IF(ISERROR($E16-F16),"-",CONCATENATE((FIXED($E16-F16,4)*10000)," bp"))</f>
        <v>92 bp</v>
      </c>
    </row>
    <row r="17" spans="2:7" x14ac:dyDescent="0.25">
      <c r="B17" s="1" t="s">
        <v>2</v>
      </c>
      <c r="E17" s="30">
        <v>5.477785251297107E-3</v>
      </c>
      <c r="F17" s="31">
        <v>4.5131774166749204E-3</v>
      </c>
      <c r="G17" s="32" t="str">
        <f t="shared" si="0"/>
        <v>10 bp</v>
      </c>
    </row>
    <row r="18" spans="2:7" x14ac:dyDescent="0.25">
      <c r="B18" s="1" t="s">
        <v>3</v>
      </c>
      <c r="E18" s="30">
        <v>1.0335499658498896E-2</v>
      </c>
      <c r="F18" s="31">
        <v>8.4419240985074331E-3</v>
      </c>
      <c r="G18" s="32" t="str">
        <f t="shared" si="0"/>
        <v>19 bp</v>
      </c>
    </row>
    <row r="19" spans="2:7" x14ac:dyDescent="0.25">
      <c r="B19" s="1" t="s">
        <v>38</v>
      </c>
      <c r="E19" s="30">
        <v>0.55868325764033944</v>
      </c>
      <c r="F19" s="31">
        <v>0.50887837433428551</v>
      </c>
      <c r="G19" s="32" t="str">
        <f t="shared" si="0"/>
        <v>498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33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34</v>
      </c>
      <c r="F30" s="9" t="s">
        <v>36</v>
      </c>
      <c r="G30" s="9" t="s">
        <v>0</v>
      </c>
    </row>
    <row r="31" spans="2:7" x14ac:dyDescent="0.25">
      <c r="B31" s="1" t="s">
        <v>1</v>
      </c>
      <c r="E31" s="30">
        <f>+E15</f>
        <v>6.1899999999999997E-2</v>
      </c>
      <c r="F31" s="31">
        <v>6.0789746005920797E-2</v>
      </c>
      <c r="G31" s="32" t="str">
        <f>IF(ISERROR($E31-F31),"-",CONCATENATE((FIXED($E31-F31,4)*10000)," bp"))</f>
        <v>11 bp</v>
      </c>
    </row>
    <row r="32" spans="2:7" x14ac:dyDescent="0.25">
      <c r="B32" s="1" t="s">
        <v>4</v>
      </c>
      <c r="E32" s="30">
        <f>+E16</f>
        <v>6.6600000000000006E-2</v>
      </c>
      <c r="F32" s="31">
        <v>6.5423025149388858E-2</v>
      </c>
      <c r="G32" s="32" t="str">
        <f t="shared" ref="G32:G35" si="1">IF(ISERROR($E32-F32),"-",CONCATENATE((FIXED($E32-F32,4)*10000)," bp"))</f>
        <v>12 bp</v>
      </c>
    </row>
    <row r="33" spans="2:7" x14ac:dyDescent="0.25">
      <c r="B33" s="1" t="s">
        <v>2</v>
      </c>
      <c r="E33" s="30">
        <f>+E17</f>
        <v>5.477785251297107E-3</v>
      </c>
      <c r="F33" s="31">
        <v>5.2974400960772491E-3</v>
      </c>
      <c r="G33" s="32" t="str">
        <f t="shared" si="1"/>
        <v>2 bp</v>
      </c>
    </row>
    <row r="34" spans="2:7" x14ac:dyDescent="0.25">
      <c r="B34" s="1" t="s">
        <v>3</v>
      </c>
      <c r="E34" s="30">
        <f>+E18</f>
        <v>1.0335499658498896E-2</v>
      </c>
      <c r="F34" s="31">
        <v>9.9242823827414058E-3</v>
      </c>
      <c r="G34" s="32" t="str">
        <f t="shared" si="1"/>
        <v>4 bp</v>
      </c>
    </row>
    <row r="35" spans="2:7" x14ac:dyDescent="0.25">
      <c r="B35" s="1" t="s">
        <v>38</v>
      </c>
      <c r="E35" s="30">
        <f>+E19</f>
        <v>0.55868325764033944</v>
      </c>
      <c r="F35" s="31">
        <v>0.51182250029661369</v>
      </c>
      <c r="G35" s="32" t="str">
        <f t="shared" si="1"/>
        <v>469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39</v>
      </c>
    </row>
    <row r="12" spans="2:7" ht="17.25" x14ac:dyDescent="0.3">
      <c r="B12" s="6" t="s">
        <v>17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34</v>
      </c>
      <c r="F14" s="9" t="s">
        <v>35</v>
      </c>
      <c r="G14" s="9" t="s">
        <v>0</v>
      </c>
    </row>
    <row r="15" spans="2:7" x14ac:dyDescent="0.25">
      <c r="B15" s="1" t="s">
        <v>40</v>
      </c>
      <c r="E15" s="30">
        <f>+Solvency!F26</f>
        <v>0.15956929969271472</v>
      </c>
      <c r="F15" s="31">
        <f>+Solvency!G26</f>
        <v>0.15219134328105283</v>
      </c>
      <c r="G15" s="32" t="str">
        <f>IF(ISERROR($E15-F15),"-",CONCATENATE((FIXED($E15-F15,4)*10000)," bp"))</f>
        <v>74 bp</v>
      </c>
    </row>
    <row r="16" spans="2:7" x14ac:dyDescent="0.25">
      <c r="B16" s="1" t="s">
        <v>41</v>
      </c>
      <c r="E16" s="30">
        <f>+Solvency!F27</f>
        <v>0.15956929969271472</v>
      </c>
      <c r="F16" s="31">
        <f>+Solvency!G27</f>
        <v>0.15219134328105283</v>
      </c>
      <c r="G16" s="32" t="str">
        <f t="shared" ref="G16:G22" si="0">IF(ISERROR($E16-F16),"-",CONCATENATE((FIXED($E16-F16,4)*10000)," bp"))</f>
        <v>74 bp</v>
      </c>
    </row>
    <row r="17" spans="2:7" x14ac:dyDescent="0.25">
      <c r="B17" s="1" t="s">
        <v>42</v>
      </c>
      <c r="E17" s="30">
        <f>+Solvency!F28</f>
        <v>0.15956929969271472</v>
      </c>
      <c r="F17" s="31">
        <f>+Solvency!G28</f>
        <v>0.15219134328105283</v>
      </c>
      <c r="G17" s="32" t="str">
        <f t="shared" si="0"/>
        <v>74 bp</v>
      </c>
    </row>
    <row r="18" spans="2:7" x14ac:dyDescent="0.25">
      <c r="B18" s="1" t="s">
        <v>43</v>
      </c>
      <c r="E18" s="30">
        <f>+Solvency!F29</f>
        <v>8.2007077926563088E-2</v>
      </c>
      <c r="F18" s="31">
        <f>+Solvency!G29</f>
        <v>7.9572777564604014E-2</v>
      </c>
      <c r="G18" s="32" t="str">
        <f t="shared" si="0"/>
        <v>24 bp</v>
      </c>
    </row>
    <row r="19" spans="2:7" s="21" customFormat="1" x14ac:dyDescent="0.25">
      <c r="B19" s="21" t="s">
        <v>12</v>
      </c>
      <c r="E19" s="57">
        <f>+Solvency!F31</f>
        <v>0.15420681218146318</v>
      </c>
      <c r="F19" s="58">
        <f>+Solvency!G31</f>
        <v>0.14846394676583535</v>
      </c>
      <c r="G19" s="32" t="str">
        <f t="shared" si="0"/>
        <v>57 bp</v>
      </c>
    </row>
    <row r="20" spans="2:7" s="21" customFormat="1" x14ac:dyDescent="0.25">
      <c r="B20" s="21" t="s">
        <v>44</v>
      </c>
      <c r="E20" s="57">
        <f>+Solvency!F33</f>
        <v>7.9369767183369355E-2</v>
      </c>
      <c r="F20" s="58">
        <f>+Solvency!G33</f>
        <v>7.8003940473314742E-2</v>
      </c>
      <c r="G20" s="32" t="str">
        <f t="shared" si="0"/>
        <v>14 bp</v>
      </c>
    </row>
    <row r="21" spans="2:7" x14ac:dyDescent="0.25">
      <c r="B21" s="1" t="s">
        <v>5</v>
      </c>
      <c r="E21" s="30">
        <v>1.9236568307414648</v>
      </c>
      <c r="F21" s="31">
        <v>1.7991494912947084</v>
      </c>
      <c r="G21" s="32" t="str">
        <f t="shared" si="0"/>
        <v>1245 bp</v>
      </c>
    </row>
    <row r="22" spans="2:7" x14ac:dyDescent="0.25">
      <c r="B22" s="1" t="s">
        <v>6</v>
      </c>
      <c r="E22" s="77">
        <v>1.2289118397616801</v>
      </c>
      <c r="F22" s="31">
        <v>1.1678198492143967</v>
      </c>
      <c r="G22" s="32" t="str">
        <f t="shared" si="0"/>
        <v>611 bp</v>
      </c>
    </row>
    <row r="23" spans="2:7" x14ac:dyDescent="0.25">
      <c r="B23" s="1" t="s">
        <v>13</v>
      </c>
      <c r="E23" s="30">
        <v>1.0333334856640495</v>
      </c>
      <c r="F23" s="31">
        <v>1.0733665733282052</v>
      </c>
      <c r="G23" s="32" t="str">
        <f>IF(ISERROR($E23-F23),"-",CONCATENATE((FIXED($E23-F23,4)*10000)," bp"))</f>
        <v>-400 bp</v>
      </c>
    </row>
    <row r="29" spans="2:7" ht="17.25" x14ac:dyDescent="0.3">
      <c r="B29" s="6" t="s">
        <v>33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34</v>
      </c>
      <c r="F31" s="9" t="s">
        <v>36</v>
      </c>
      <c r="G31" s="9" t="s">
        <v>0</v>
      </c>
    </row>
    <row r="32" spans="2:7" x14ac:dyDescent="0.25">
      <c r="B32" s="1" t="s">
        <v>40</v>
      </c>
      <c r="E32" s="30">
        <f t="shared" ref="E32:E40" si="1">+E15</f>
        <v>0.15956929969271472</v>
      </c>
      <c r="F32" s="31">
        <f>+Solvency!G54</f>
        <v>0.1570986353459955</v>
      </c>
      <c r="G32" s="32" t="str">
        <f>IF(ISERROR($E32-F32),"-",CONCATENATE((FIXED($E32-F32,4)*10000)," bp"))</f>
        <v>25 bp</v>
      </c>
    </row>
    <row r="33" spans="2:7" x14ac:dyDescent="0.25">
      <c r="B33" s="1" t="s">
        <v>41</v>
      </c>
      <c r="E33" s="30">
        <f t="shared" si="1"/>
        <v>0.15956929969271472</v>
      </c>
      <c r="F33" s="31">
        <f>+Solvency!G55</f>
        <v>0.1570986353459955</v>
      </c>
      <c r="G33" s="32" t="str">
        <f t="shared" ref="G33:G40" si="2">IF(ISERROR($E33-F33),"-",CONCATENATE((FIXED($E33-F33,4)*10000)," bp"))</f>
        <v>25 bp</v>
      </c>
    </row>
    <row r="34" spans="2:7" x14ac:dyDescent="0.25">
      <c r="B34" s="1" t="s">
        <v>42</v>
      </c>
      <c r="E34" s="30">
        <f t="shared" si="1"/>
        <v>0.15956929969271472</v>
      </c>
      <c r="F34" s="31">
        <f>+Solvency!G56</f>
        <v>0.1570986353459955</v>
      </c>
      <c r="G34" s="32" t="str">
        <f t="shared" si="2"/>
        <v>25 bp</v>
      </c>
    </row>
    <row r="35" spans="2:7" s="21" customFormat="1" x14ac:dyDescent="0.25">
      <c r="B35" s="1" t="s">
        <v>43</v>
      </c>
      <c r="C35" s="1"/>
      <c r="D35" s="1"/>
      <c r="E35" s="30">
        <f t="shared" si="1"/>
        <v>8.2007077926563088E-2</v>
      </c>
      <c r="F35" s="31">
        <f>+Solvency!G57</f>
        <v>8.0731580261962754E-2</v>
      </c>
      <c r="G35" s="32" t="str">
        <f t="shared" si="2"/>
        <v>13 bp</v>
      </c>
    </row>
    <row r="36" spans="2:7" s="21" customFormat="1" x14ac:dyDescent="0.25">
      <c r="B36" s="21" t="s">
        <v>12</v>
      </c>
      <c r="E36" s="57">
        <f t="shared" si="1"/>
        <v>0.15420681218146318</v>
      </c>
      <c r="F36" s="58">
        <f>+Solvency!G59</f>
        <v>0.15320943844257678</v>
      </c>
      <c r="G36" s="32" t="str">
        <f t="shared" si="2"/>
        <v>10 bp</v>
      </c>
    </row>
    <row r="37" spans="2:7" x14ac:dyDescent="0.25">
      <c r="B37" s="21" t="s">
        <v>44</v>
      </c>
      <c r="C37" s="21"/>
      <c r="D37" s="21"/>
      <c r="E37" s="57">
        <f t="shared" si="1"/>
        <v>7.9369767183369355E-2</v>
      </c>
      <c r="F37" s="58">
        <f>+Solvency!G61</f>
        <v>7.9095294773285016E-2</v>
      </c>
      <c r="G37" s="32" t="str">
        <f t="shared" si="2"/>
        <v>3 bp</v>
      </c>
    </row>
    <row r="38" spans="2:7" x14ac:dyDescent="0.25">
      <c r="B38" s="1" t="s">
        <v>5</v>
      </c>
      <c r="E38" s="30">
        <f t="shared" si="1"/>
        <v>1.9236568307414648</v>
      </c>
      <c r="F38" s="31">
        <v>2.0469754459502956</v>
      </c>
      <c r="G38" s="32" t="str">
        <f t="shared" si="2"/>
        <v>-1233 bp</v>
      </c>
    </row>
    <row r="39" spans="2:7" x14ac:dyDescent="0.25">
      <c r="B39" s="1" t="s">
        <v>6</v>
      </c>
      <c r="E39" s="30">
        <f t="shared" si="1"/>
        <v>1.2289118397616801</v>
      </c>
      <c r="F39" s="31">
        <v>1.2220191045048103</v>
      </c>
      <c r="G39" s="32" t="str">
        <f t="shared" si="2"/>
        <v>69 bp</v>
      </c>
    </row>
    <row r="40" spans="2:7" x14ac:dyDescent="0.25">
      <c r="B40" s="1" t="s">
        <v>13</v>
      </c>
      <c r="E40" s="30">
        <f t="shared" si="1"/>
        <v>1.0333334856640495</v>
      </c>
      <c r="F40" s="31">
        <v>1.0404169818319282</v>
      </c>
      <c r="G40" s="32" t="str">
        <f t="shared" si="2"/>
        <v>-71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45</v>
      </c>
    </row>
    <row r="12" spans="2:9" ht="17.25" x14ac:dyDescent="0.3">
      <c r="B12" s="6" t="s">
        <v>17</v>
      </c>
      <c r="F12" s="4"/>
    </row>
    <row r="13" spans="2:9" x14ac:dyDescent="0.25">
      <c r="B13" s="73" t="s">
        <v>46</v>
      </c>
      <c r="F13" s="4"/>
    </row>
    <row r="14" spans="2:9" x14ac:dyDescent="0.25">
      <c r="B14" s="7"/>
      <c r="C14" s="7"/>
      <c r="D14" s="7"/>
      <c r="E14" s="8" t="s">
        <v>34</v>
      </c>
      <c r="F14" s="9" t="s">
        <v>35</v>
      </c>
      <c r="G14" s="9" t="s">
        <v>0</v>
      </c>
    </row>
    <row r="15" spans="2:9" x14ac:dyDescent="0.25">
      <c r="B15" s="1" t="s">
        <v>47</v>
      </c>
      <c r="E15" s="33">
        <v>5665</v>
      </c>
      <c r="F15" s="34">
        <v>5937</v>
      </c>
      <c r="G15" s="35">
        <f t="shared" ref="G15:G20" si="0">IF(ISERROR($E15/F15),"-",$E15/F15-1)</f>
        <v>-4.5814384369210037E-2</v>
      </c>
      <c r="H15" s="12"/>
      <c r="I15" s="12"/>
    </row>
    <row r="16" spans="2:9" x14ac:dyDescent="0.25">
      <c r="B16" s="1" t="s">
        <v>48</v>
      </c>
      <c r="E16" s="33">
        <v>920</v>
      </c>
      <c r="F16" s="34">
        <v>936</v>
      </c>
      <c r="G16" s="35">
        <f t="shared" si="0"/>
        <v>-1.7094017094017144E-2</v>
      </c>
      <c r="H16" s="12"/>
      <c r="I16" s="12"/>
    </row>
    <row r="17" spans="2:9" x14ac:dyDescent="0.25">
      <c r="B17" s="1" t="s">
        <v>49</v>
      </c>
      <c r="E17" s="33">
        <v>2561430</v>
      </c>
      <c r="F17" s="34">
        <v>2632495</v>
      </c>
      <c r="G17" s="35">
        <f t="shared" si="0"/>
        <v>-2.699530293504826E-2</v>
      </c>
      <c r="H17" s="12"/>
      <c r="I17" s="12"/>
    </row>
    <row r="18" spans="2:9" x14ac:dyDescent="0.25">
      <c r="B18" s="1" t="s">
        <v>50</v>
      </c>
      <c r="E18" s="33">
        <v>2414980</v>
      </c>
      <c r="F18" s="34">
        <v>2481693</v>
      </c>
      <c r="G18" s="35">
        <f t="shared" si="0"/>
        <v>-2.6882051889577041E-2</v>
      </c>
      <c r="H18" s="12"/>
      <c r="I18" s="12"/>
    </row>
    <row r="19" spans="2:9" x14ac:dyDescent="0.25">
      <c r="B19" s="1" t="s">
        <v>51</v>
      </c>
      <c r="E19" s="33">
        <v>146450</v>
      </c>
      <c r="F19" s="34">
        <v>150802</v>
      </c>
      <c r="G19" s="35">
        <f t="shared" si="0"/>
        <v>-2.8859033699818348E-2</v>
      </c>
      <c r="H19" s="12"/>
      <c r="I19" s="12"/>
    </row>
    <row r="20" spans="2:9" x14ac:dyDescent="0.25">
      <c r="B20" s="1" t="s">
        <v>52</v>
      </c>
      <c r="E20" s="33">
        <v>1960</v>
      </c>
      <c r="F20" s="34">
        <v>1987</v>
      </c>
      <c r="G20" s="35">
        <f t="shared" si="0"/>
        <v>-1.3588324106693528E-2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33</v>
      </c>
      <c r="F28" s="4"/>
      <c r="H28" s="12"/>
      <c r="I28" s="12"/>
    </row>
    <row r="29" spans="2:9" x14ac:dyDescent="0.25">
      <c r="B29" s="73" t="s">
        <v>46</v>
      </c>
      <c r="F29" s="4"/>
      <c r="H29" s="12"/>
      <c r="I29" s="12"/>
    </row>
    <row r="30" spans="2:9" x14ac:dyDescent="0.25">
      <c r="B30" s="7"/>
      <c r="C30" s="7"/>
      <c r="D30" s="7"/>
      <c r="E30" s="8" t="s">
        <v>34</v>
      </c>
      <c r="F30" s="9" t="s">
        <v>36</v>
      </c>
      <c r="G30" s="9" t="s">
        <v>0</v>
      </c>
      <c r="H30" s="12"/>
      <c r="I30" s="12"/>
    </row>
    <row r="31" spans="2:9" x14ac:dyDescent="0.25">
      <c r="B31" s="1" t="s">
        <v>47</v>
      </c>
      <c r="E31" s="33">
        <f t="shared" ref="E31:E36" si="1">+E15</f>
        <v>5665</v>
      </c>
      <c r="F31" s="34">
        <v>5651</v>
      </c>
      <c r="G31" s="35">
        <f t="shared" ref="G31:G36" si="2">IF(ISERROR($E31/F31),"-",$E31/F31-1)</f>
        <v>2.4774376216598615E-3</v>
      </c>
      <c r="H31" s="12"/>
      <c r="I31" s="12"/>
    </row>
    <row r="32" spans="2:9" x14ac:dyDescent="0.25">
      <c r="B32" s="1" t="s">
        <v>48</v>
      </c>
      <c r="E32" s="33">
        <f t="shared" si="1"/>
        <v>920</v>
      </c>
      <c r="F32" s="34">
        <v>931</v>
      </c>
      <c r="G32" s="35">
        <f t="shared" si="2"/>
        <v>-1.1815252416756183E-2</v>
      </c>
      <c r="H32" s="12"/>
      <c r="I32" s="12"/>
    </row>
    <row r="33" spans="2:9" x14ac:dyDescent="0.25">
      <c r="B33" s="1" t="s">
        <v>49</v>
      </c>
      <c r="E33" s="33">
        <f t="shared" si="1"/>
        <v>2561430</v>
      </c>
      <c r="F33" s="34">
        <v>2578754</v>
      </c>
      <c r="G33" s="35">
        <f t="shared" si="2"/>
        <v>-6.7179730986359765E-3</v>
      </c>
      <c r="H33" s="12"/>
      <c r="I33" s="12"/>
    </row>
    <row r="34" spans="2:9" x14ac:dyDescent="0.25">
      <c r="B34" s="1" t="s">
        <v>50</v>
      </c>
      <c r="E34" s="33">
        <f t="shared" si="1"/>
        <v>2414980</v>
      </c>
      <c r="F34" s="34">
        <v>2431169</v>
      </c>
      <c r="G34" s="35">
        <f t="shared" si="2"/>
        <v>-6.6589365033857817E-3</v>
      </c>
      <c r="H34" s="12"/>
      <c r="I34" s="12"/>
    </row>
    <row r="35" spans="2:9" x14ac:dyDescent="0.25">
      <c r="B35" s="1" t="s">
        <v>51</v>
      </c>
      <c r="E35" s="33">
        <f t="shared" si="1"/>
        <v>146450</v>
      </c>
      <c r="F35" s="34">
        <v>147585</v>
      </c>
      <c r="G35" s="35">
        <f t="shared" si="2"/>
        <v>-7.6904834502151687E-3</v>
      </c>
      <c r="H35" s="12"/>
      <c r="I35" s="12"/>
    </row>
    <row r="36" spans="2:9" x14ac:dyDescent="0.25">
      <c r="B36" s="1" t="s">
        <v>52</v>
      </c>
      <c r="E36" s="33">
        <f t="shared" si="1"/>
        <v>1960</v>
      </c>
      <c r="F36" s="34">
        <v>1969</v>
      </c>
      <c r="G36" s="35">
        <f t="shared" si="2"/>
        <v>-4.5708481462671813E-3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53</v>
      </c>
    </row>
    <row r="10" spans="2:10" x14ac:dyDescent="0.25">
      <c r="B10" s="73" t="s">
        <v>18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34</v>
      </c>
      <c r="I14" s="9" t="s">
        <v>35</v>
      </c>
      <c r="J14" s="9" t="s">
        <v>0</v>
      </c>
    </row>
    <row r="15" spans="2:10" x14ac:dyDescent="0.25">
      <c r="B15" s="5" t="s">
        <v>54</v>
      </c>
      <c r="C15" s="5"/>
      <c r="D15" s="5"/>
      <c r="E15" s="5"/>
      <c r="F15" s="5"/>
      <c r="G15" s="5"/>
      <c r="H15" s="17">
        <v>137.548</v>
      </c>
      <c r="I15" s="37">
        <v>134.821</v>
      </c>
      <c r="J15" s="38">
        <f>IF(ISERROR($H15/I15),"-",$H15/I15-1)</f>
        <v>2.0226819264061335E-2</v>
      </c>
    </row>
    <row r="16" spans="2:10" x14ac:dyDescent="0.25">
      <c r="B16" s="1" t="s">
        <v>55</v>
      </c>
      <c r="H16" s="20">
        <v>23.498000000000001</v>
      </c>
      <c r="I16" s="25">
        <v>25.494</v>
      </c>
      <c r="J16" s="35">
        <f t="shared" ref="J16:J40" si="0">IF(ISERROR($H16/I16),"-",$H16/I16-1)</f>
        <v>-7.8292931670196908E-2</v>
      </c>
    </row>
    <row r="17" spans="2:11" x14ac:dyDescent="0.25">
      <c r="B17" s="1" t="s">
        <v>56</v>
      </c>
      <c r="H17" s="20">
        <v>4.9859999999999998</v>
      </c>
      <c r="I17" s="25">
        <v>3.3879999999999999</v>
      </c>
      <c r="J17" s="35">
        <f t="shared" si="0"/>
        <v>0.47166469893742624</v>
      </c>
    </row>
    <row r="18" spans="2:11" x14ac:dyDescent="0.25">
      <c r="B18" s="5" t="s">
        <v>57</v>
      </c>
      <c r="C18" s="5"/>
      <c r="D18" s="5"/>
      <c r="E18" s="5"/>
      <c r="F18" s="5"/>
      <c r="G18" s="5"/>
      <c r="H18" s="17">
        <v>96.923000000000002</v>
      </c>
      <c r="I18" s="37">
        <v>89.814999999999998</v>
      </c>
      <c r="J18" s="38">
        <f t="shared" si="0"/>
        <v>7.9140455380504404E-2</v>
      </c>
    </row>
    <row r="19" spans="2:11" x14ac:dyDescent="0.25">
      <c r="B19" s="1" t="s">
        <v>58</v>
      </c>
      <c r="H19" s="20">
        <v>14.65</v>
      </c>
      <c r="I19" s="25">
        <v>153.83000000000001</v>
      </c>
      <c r="J19" s="35">
        <f t="shared" si="0"/>
        <v>-0.90476500032503415</v>
      </c>
    </row>
    <row r="20" spans="2:11" x14ac:dyDescent="0.25">
      <c r="B20" s="1" t="s">
        <v>59</v>
      </c>
      <c r="H20" s="20">
        <v>0.71899999999999997</v>
      </c>
      <c r="I20" s="25">
        <v>0.75700000000000001</v>
      </c>
      <c r="J20" s="35">
        <f t="shared" si="0"/>
        <v>-5.0198150594451874E-2</v>
      </c>
    </row>
    <row r="21" spans="2:11" x14ac:dyDescent="0.25">
      <c r="B21" s="1" t="s">
        <v>60</v>
      </c>
      <c r="H21" s="20">
        <v>25.736999999999995</v>
      </c>
      <c r="I21" s="25">
        <v>24.108000000000001</v>
      </c>
      <c r="J21" s="35">
        <f t="shared" si="0"/>
        <v>6.7570930811348795E-2</v>
      </c>
    </row>
    <row r="22" spans="2:11" ht="17.25" x14ac:dyDescent="0.3">
      <c r="B22" s="6" t="s">
        <v>61</v>
      </c>
      <c r="C22" s="6"/>
      <c r="D22" s="6"/>
      <c r="E22" s="6"/>
      <c r="F22" s="6"/>
      <c r="G22" s="6"/>
      <c r="H22" s="18">
        <f>SUM(H15:H21)</f>
        <v>304.06099999999992</v>
      </c>
      <c r="I22" s="27">
        <f>SUM(I15:I21)</f>
        <v>432.21300000000002</v>
      </c>
      <c r="J22" s="39">
        <f t="shared" si="0"/>
        <v>-0.29650195621140529</v>
      </c>
      <c r="K22" s="12"/>
    </row>
    <row r="23" spans="2:11" x14ac:dyDescent="0.25">
      <c r="B23" s="19" t="s">
        <v>62</v>
      </c>
      <c r="C23" s="19"/>
      <c r="D23" s="19"/>
      <c r="E23" s="19"/>
      <c r="F23" s="19"/>
      <c r="G23" s="19"/>
      <c r="H23" s="20">
        <f>+H24+H25</f>
        <v>152.381</v>
      </c>
      <c r="I23" s="25">
        <f>+I24+I25</f>
        <v>162.01499999999999</v>
      </c>
      <c r="J23" s="35">
        <f t="shared" si="0"/>
        <v>-5.9463629910810667E-2</v>
      </c>
    </row>
    <row r="24" spans="2:11" s="21" customFormat="1" x14ac:dyDescent="0.25">
      <c r="B24" s="21" t="s">
        <v>63</v>
      </c>
      <c r="H24" s="22">
        <v>108.158</v>
      </c>
      <c r="I24" s="23">
        <v>113.703</v>
      </c>
      <c r="J24" s="35">
        <f t="shared" si="0"/>
        <v>-4.8767402795001025E-2</v>
      </c>
    </row>
    <row r="25" spans="2:11" s="21" customFormat="1" x14ac:dyDescent="0.25">
      <c r="B25" s="21" t="s">
        <v>64</v>
      </c>
      <c r="H25" s="22">
        <v>44.222999999999999</v>
      </c>
      <c r="I25" s="23">
        <v>48.311999999999998</v>
      </c>
      <c r="J25" s="35">
        <f t="shared" si="0"/>
        <v>-8.4637357178340755E-2</v>
      </c>
    </row>
    <row r="26" spans="2:11" x14ac:dyDescent="0.25">
      <c r="B26" s="1" t="s">
        <v>65</v>
      </c>
      <c r="H26" s="20">
        <v>13.167</v>
      </c>
      <c r="I26" s="25">
        <v>12.725</v>
      </c>
      <c r="J26" s="35">
        <f t="shared" si="0"/>
        <v>3.4734774066797591E-2</v>
      </c>
    </row>
    <row r="27" spans="2:11" ht="17.25" x14ac:dyDescent="0.3">
      <c r="B27" s="6" t="s">
        <v>66</v>
      </c>
      <c r="C27" s="6"/>
      <c r="D27" s="6"/>
      <c r="E27" s="6"/>
      <c r="F27" s="6"/>
      <c r="G27" s="6"/>
      <c r="H27" s="18">
        <f>+H22-H23-H26</f>
        <v>138.51299999999992</v>
      </c>
      <c r="I27" s="27">
        <f>+I22-I23-I26</f>
        <v>257.47300000000001</v>
      </c>
      <c r="J27" s="39">
        <f t="shared" si="0"/>
        <v>-0.46202902828646142</v>
      </c>
    </row>
    <row r="28" spans="2:11" x14ac:dyDescent="0.25">
      <c r="B28" s="1" t="s">
        <v>67</v>
      </c>
      <c r="H28" s="20">
        <v>4.4749999999999996</v>
      </c>
      <c r="I28" s="25">
        <v>59.393999999999998</v>
      </c>
      <c r="J28" s="35">
        <f t="shared" si="0"/>
        <v>-0.92465568912684781</v>
      </c>
    </row>
    <row r="29" spans="2:11" x14ac:dyDescent="0.25">
      <c r="B29" s="1" t="s">
        <v>68</v>
      </c>
      <c r="H29" s="20">
        <f>+H30+H31</f>
        <v>21.661999999999999</v>
      </c>
      <c r="I29" s="25">
        <f>+I30+I31</f>
        <v>108.649</v>
      </c>
      <c r="J29" s="35">
        <f t="shared" si="0"/>
        <v>-0.80062402783274589</v>
      </c>
    </row>
    <row r="30" spans="2:11" s="21" customFormat="1" x14ac:dyDescent="0.25">
      <c r="B30" s="21" t="s">
        <v>69</v>
      </c>
      <c r="H30" s="22">
        <v>21.654</v>
      </c>
      <c r="I30" s="23">
        <v>78.501999999999995</v>
      </c>
      <c r="J30" s="35">
        <f t="shared" si="0"/>
        <v>-0.72415989401543901</v>
      </c>
    </row>
    <row r="31" spans="2:11" s="21" customFormat="1" x14ac:dyDescent="0.25">
      <c r="B31" s="21" t="s">
        <v>70</v>
      </c>
      <c r="H31" s="22">
        <v>8.0000000000000002E-3</v>
      </c>
      <c r="I31" s="23">
        <v>30.146999999999998</v>
      </c>
      <c r="J31" s="35">
        <f t="shared" si="0"/>
        <v>-0.99973463362855342</v>
      </c>
    </row>
    <row r="32" spans="2:11" x14ac:dyDescent="0.25">
      <c r="B32" s="5" t="s">
        <v>71</v>
      </c>
      <c r="C32" s="5"/>
      <c r="D32" s="5"/>
      <c r="E32" s="5"/>
      <c r="F32" s="5"/>
      <c r="G32" s="5"/>
      <c r="H32" s="17">
        <f>+H27-H28-H29</f>
        <v>112.37599999999992</v>
      </c>
      <c r="I32" s="37">
        <f>+I27-I28-I29</f>
        <v>89.43</v>
      </c>
      <c r="J32" s="74">
        <f t="shared" si="0"/>
        <v>0.25658056580565702</v>
      </c>
    </row>
    <row r="33" spans="2:10" x14ac:dyDescent="0.25">
      <c r="B33" s="1" t="s">
        <v>72</v>
      </c>
      <c r="H33" s="20">
        <v>0</v>
      </c>
      <c r="I33" s="25">
        <v>1.4</v>
      </c>
      <c r="J33" s="35">
        <f t="shared" si="0"/>
        <v>-1</v>
      </c>
    </row>
    <row r="34" spans="2:10" x14ac:dyDescent="0.25">
      <c r="B34" s="1" t="s">
        <v>73</v>
      </c>
      <c r="H34" s="20">
        <v>0.55800000000000005</v>
      </c>
      <c r="I34" s="25">
        <v>15.215999999999999</v>
      </c>
      <c r="J34" s="35">
        <f t="shared" si="0"/>
        <v>-0.96332807570977919</v>
      </c>
    </row>
    <row r="35" spans="2:10" x14ac:dyDescent="0.25">
      <c r="B35" s="1" t="s">
        <v>74</v>
      </c>
      <c r="H35" s="20">
        <v>5.335</v>
      </c>
      <c r="I35" s="25">
        <v>2.5760000000000001</v>
      </c>
      <c r="J35" s="35">
        <f t="shared" si="0"/>
        <v>1.0710403726708075</v>
      </c>
    </row>
    <row r="36" spans="2:10" x14ac:dyDescent="0.25">
      <c r="B36" s="1" t="s">
        <v>75</v>
      </c>
      <c r="H36" s="20">
        <v>2.5659999999999998</v>
      </c>
      <c r="I36" s="25">
        <v>-11.808999999999999</v>
      </c>
      <c r="J36" s="35">
        <f t="shared" si="0"/>
        <v>-1.2172918960115167</v>
      </c>
    </row>
    <row r="37" spans="2:10" ht="17.25" x14ac:dyDescent="0.3">
      <c r="B37" s="6" t="s">
        <v>76</v>
      </c>
      <c r="C37" s="6"/>
      <c r="D37" s="6"/>
      <c r="E37" s="6"/>
      <c r="F37" s="6"/>
      <c r="G37" s="6"/>
      <c r="H37" s="18">
        <f>+H32-H33-H34+H35+H36</f>
        <v>119.71899999999991</v>
      </c>
      <c r="I37" s="27">
        <f>+I32-I33-I34+I35+I36</f>
        <v>63.581000000000003</v>
      </c>
      <c r="J37" s="39">
        <f t="shared" si="0"/>
        <v>0.88293672638052101</v>
      </c>
    </row>
    <row r="38" spans="2:10" x14ac:dyDescent="0.25">
      <c r="B38" s="1" t="s">
        <v>77</v>
      </c>
      <c r="H38" s="20">
        <v>18.478999999999999</v>
      </c>
      <c r="I38" s="25">
        <v>-26.867999999999999</v>
      </c>
      <c r="J38" s="35" t="s">
        <v>7</v>
      </c>
    </row>
    <row r="39" spans="2:10" x14ac:dyDescent="0.25">
      <c r="B39" s="5" t="s">
        <v>78</v>
      </c>
      <c r="C39" s="5"/>
      <c r="D39" s="5"/>
      <c r="E39" s="5"/>
      <c r="F39" s="5"/>
      <c r="G39" s="5"/>
      <c r="H39" s="17">
        <v>101.24</v>
      </c>
      <c r="I39" s="37">
        <v>90.448999999999998</v>
      </c>
      <c r="J39" s="38">
        <f t="shared" si="0"/>
        <v>0.11930480160090218</v>
      </c>
    </row>
    <row r="40" spans="2:10" x14ac:dyDescent="0.25">
      <c r="B40" s="1" t="s">
        <v>79</v>
      </c>
      <c r="H40" s="10">
        <v>7.0000000000000007E-2</v>
      </c>
      <c r="I40" s="11">
        <v>0.21299999999999999</v>
      </c>
      <c r="J40" s="35">
        <f t="shared" si="0"/>
        <v>-0.67136150234741776</v>
      </c>
    </row>
    <row r="41" spans="2:10" s="24" customFormat="1" ht="17.25" x14ac:dyDescent="0.3">
      <c r="B41" s="6" t="s">
        <v>80</v>
      </c>
      <c r="C41" s="6"/>
      <c r="D41" s="6"/>
      <c r="E41" s="6"/>
      <c r="F41" s="6"/>
      <c r="G41" s="6"/>
      <c r="H41" s="18">
        <v>101.17</v>
      </c>
      <c r="I41" s="27">
        <v>90.236000000000004</v>
      </c>
      <c r="J41" s="39">
        <f>IF(ISERROR($H41/I41),"-",$H41/I41-1)</f>
        <v>0.12117115120351074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H45" s="12"/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81</v>
      </c>
    </row>
    <row r="10" spans="2:11" x14ac:dyDescent="0.25">
      <c r="B10" s="73" t="s">
        <v>18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34</v>
      </c>
      <c r="G14" s="9" t="s">
        <v>35</v>
      </c>
      <c r="H14" s="9" t="s">
        <v>0</v>
      </c>
      <c r="I14" s="9" t="s">
        <v>36</v>
      </c>
      <c r="J14" s="9" t="s">
        <v>0</v>
      </c>
    </row>
    <row r="15" spans="2:11" s="19" customFormat="1" x14ac:dyDescent="0.25">
      <c r="B15" s="19" t="s">
        <v>82</v>
      </c>
      <c r="F15" s="20">
        <v>4053.0720000000001</v>
      </c>
      <c r="G15" s="25">
        <v>851.94399999999996</v>
      </c>
      <c r="H15" s="35">
        <f>IF(ISERROR($F15/G15),"-",$F15/G15-1)</f>
        <v>3.7574394561144864</v>
      </c>
      <c r="I15" s="25">
        <v>4407.6379999999999</v>
      </c>
      <c r="J15" s="35">
        <f>IF(ISERROR($F15/I15),"-",$F15/I15-1)</f>
        <v>-8.0443539147271093E-2</v>
      </c>
      <c r="K15" s="25"/>
    </row>
    <row r="16" spans="2:11" s="19" customFormat="1" x14ac:dyDescent="0.25">
      <c r="B16" s="19" t="s">
        <v>83</v>
      </c>
      <c r="F16" s="20">
        <f>+F17+F18+F19</f>
        <v>74.334000000000003</v>
      </c>
      <c r="G16" s="25">
        <f>+G17+G18+G19</f>
        <v>134.03200000000001</v>
      </c>
      <c r="H16" s="35">
        <f t="shared" ref="H16:H57" si="0">IF(ISERROR($F16/G16),"-",$F16/G16-1)</f>
        <v>-0.44540109824519525</v>
      </c>
      <c r="I16" s="25">
        <f>+I17+I18+I19</f>
        <v>83.77</v>
      </c>
      <c r="J16" s="35">
        <f t="shared" ref="J16:J57" si="1">IF(ISERROR($F16/I16),"-",$F16/I16-1)</f>
        <v>-0.11264175719231218</v>
      </c>
      <c r="K16" s="25"/>
    </row>
    <row r="17" spans="2:11" s="21" customFormat="1" x14ac:dyDescent="0.25">
      <c r="B17" s="21" t="s">
        <v>84</v>
      </c>
      <c r="F17" s="22">
        <v>74.334000000000003</v>
      </c>
      <c r="G17" s="23">
        <v>134.03200000000001</v>
      </c>
      <c r="H17" s="41">
        <f t="shared" si="0"/>
        <v>-0.44540109824519525</v>
      </c>
      <c r="I17" s="23">
        <v>83.77</v>
      </c>
      <c r="J17" s="41">
        <f t="shared" si="1"/>
        <v>-0.11264175719231218</v>
      </c>
      <c r="K17" s="23"/>
    </row>
    <row r="18" spans="2:11" s="21" customFormat="1" x14ac:dyDescent="0.25">
      <c r="B18" s="21" t="s">
        <v>85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86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87</v>
      </c>
      <c r="F20" s="20">
        <f>+F21+F22</f>
        <v>302.02100000000002</v>
      </c>
      <c r="G20" s="25">
        <f>+G21+G22</f>
        <v>35.067</v>
      </c>
      <c r="H20" s="35">
        <f t="shared" si="0"/>
        <v>7.6126842900732878</v>
      </c>
      <c r="I20" s="25">
        <f>+I21+I22</f>
        <v>35.238999999999997</v>
      </c>
      <c r="J20" s="35">
        <f t="shared" si="1"/>
        <v>7.570646159085106</v>
      </c>
      <c r="K20" s="25"/>
    </row>
    <row r="21" spans="2:11" s="19" customFormat="1" x14ac:dyDescent="0.25">
      <c r="B21" s="21" t="s">
        <v>85</v>
      </c>
      <c r="C21" s="21"/>
      <c r="D21" s="21"/>
      <c r="E21" s="21"/>
      <c r="F21" s="22">
        <v>236.76300000000001</v>
      </c>
      <c r="G21" s="23">
        <v>6.3230000000000004</v>
      </c>
      <c r="H21" s="41">
        <f t="shared" si="0"/>
        <v>36.444725604934362</v>
      </c>
      <c r="I21" s="23">
        <v>6.1029999999999998</v>
      </c>
      <c r="J21" s="41">
        <f t="shared" si="1"/>
        <v>37.794527281664756</v>
      </c>
      <c r="K21" s="23"/>
    </row>
    <row r="22" spans="2:11" s="19" customFormat="1" x14ac:dyDescent="0.25">
      <c r="B22" s="21" t="s">
        <v>86</v>
      </c>
      <c r="C22" s="21"/>
      <c r="D22" s="21"/>
      <c r="E22" s="21"/>
      <c r="F22" s="22">
        <v>65.257999999999996</v>
      </c>
      <c r="G22" s="23">
        <v>28.744</v>
      </c>
      <c r="H22" s="41">
        <f t="shared" si="0"/>
        <v>1.2703172836070133</v>
      </c>
      <c r="I22" s="23">
        <v>29.135999999999999</v>
      </c>
      <c r="J22" s="41">
        <f t="shared" si="1"/>
        <v>1.2397721032399778</v>
      </c>
      <c r="K22" s="23"/>
    </row>
    <row r="23" spans="2:11" s="19" customFormat="1" x14ac:dyDescent="0.25">
      <c r="B23" s="19" t="s">
        <v>88</v>
      </c>
      <c r="F23" s="20">
        <f>+F24+F25</f>
        <v>4680.723</v>
      </c>
      <c r="G23" s="25">
        <f>+G24+G25</f>
        <v>4863.6909999999998</v>
      </c>
      <c r="H23" s="35">
        <f t="shared" si="0"/>
        <v>-3.7619166184693853E-2</v>
      </c>
      <c r="I23" s="25">
        <f>+I24+I25</f>
        <v>4896.5590000000002</v>
      </c>
      <c r="J23" s="35">
        <f t="shared" si="1"/>
        <v>-4.4079117600747786E-2</v>
      </c>
      <c r="K23" s="25"/>
    </row>
    <row r="24" spans="2:11" s="21" customFormat="1" x14ac:dyDescent="0.25">
      <c r="B24" s="21" t="s">
        <v>85</v>
      </c>
      <c r="F24" s="22">
        <v>1119.078</v>
      </c>
      <c r="G24" s="23">
        <v>1672.1189999999999</v>
      </c>
      <c r="H24" s="35">
        <f t="shared" si="0"/>
        <v>-0.33074260863012739</v>
      </c>
      <c r="I24" s="23">
        <v>1372.566</v>
      </c>
      <c r="J24" s="35">
        <f t="shared" si="1"/>
        <v>-0.18468182950765211</v>
      </c>
      <c r="K24" s="23"/>
    </row>
    <row r="25" spans="2:11" s="21" customFormat="1" x14ac:dyDescent="0.25">
      <c r="B25" s="21" t="s">
        <v>86</v>
      </c>
      <c r="F25" s="22">
        <v>3561.645</v>
      </c>
      <c r="G25" s="23">
        <v>3191.5720000000001</v>
      </c>
      <c r="H25" s="35">
        <f t="shared" si="0"/>
        <v>0.11595320425169797</v>
      </c>
      <c r="I25" s="23">
        <v>3523.9929999999999</v>
      </c>
      <c r="J25" s="35">
        <f t="shared" si="1"/>
        <v>1.0684470712626348E-2</v>
      </c>
      <c r="K25" s="23"/>
    </row>
    <row r="26" spans="2:11" s="19" customFormat="1" x14ac:dyDescent="0.25">
      <c r="B26" s="19" t="s">
        <v>89</v>
      </c>
      <c r="F26" s="20">
        <f>+F27+F28+F29</f>
        <v>42368.917000000001</v>
      </c>
      <c r="G26" s="25">
        <f>+G27+G28+G29</f>
        <v>45836.141000000003</v>
      </c>
      <c r="H26" s="35">
        <f t="shared" si="0"/>
        <v>-7.5643889829207112E-2</v>
      </c>
      <c r="I26" s="25">
        <f>+I27+I28+I29</f>
        <v>42559.033000000003</v>
      </c>
      <c r="J26" s="35">
        <f t="shared" si="1"/>
        <v>-4.4671127748603379E-3</v>
      </c>
      <c r="K26" s="25"/>
    </row>
    <row r="27" spans="2:11" s="19" customFormat="1" x14ac:dyDescent="0.25">
      <c r="B27" s="21" t="s">
        <v>90</v>
      </c>
      <c r="C27" s="21"/>
      <c r="D27" s="21"/>
      <c r="E27" s="21"/>
      <c r="F27" s="22">
        <v>0</v>
      </c>
      <c r="G27" s="23">
        <v>2049.9769999999999</v>
      </c>
      <c r="H27" s="35">
        <f t="shared" si="0"/>
        <v>-1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91</v>
      </c>
      <c r="C28" s="21"/>
      <c r="D28" s="21"/>
      <c r="E28" s="21"/>
      <c r="F28" s="22">
        <v>523.70500000000004</v>
      </c>
      <c r="G28" s="23">
        <v>1616.7919999999999</v>
      </c>
      <c r="H28" s="41">
        <f t="shared" si="0"/>
        <v>-0.6760838747346597</v>
      </c>
      <c r="I28" s="23">
        <v>552.66</v>
      </c>
      <c r="J28" s="41">
        <f t="shared" si="1"/>
        <v>-5.2392067455578339E-2</v>
      </c>
      <c r="K28" s="23"/>
    </row>
    <row r="29" spans="2:11" s="19" customFormat="1" x14ac:dyDescent="0.25">
      <c r="B29" s="21" t="s">
        <v>92</v>
      </c>
      <c r="C29" s="21"/>
      <c r="D29" s="21"/>
      <c r="E29" s="21"/>
      <c r="F29" s="22">
        <v>41845.212</v>
      </c>
      <c r="G29" s="23">
        <v>42169.372000000003</v>
      </c>
      <c r="H29" s="41">
        <f t="shared" si="0"/>
        <v>-7.6870957433277098E-3</v>
      </c>
      <c r="I29" s="23">
        <v>42006.373</v>
      </c>
      <c r="J29" s="41">
        <f t="shared" si="1"/>
        <v>-3.8365845106408392E-3</v>
      </c>
      <c r="K29" s="25"/>
    </row>
    <row r="30" spans="2:11" s="19" customFormat="1" x14ac:dyDescent="0.25">
      <c r="B30" s="19" t="s">
        <v>93</v>
      </c>
      <c r="F30" s="20">
        <v>457.27800000000002</v>
      </c>
      <c r="G30" s="25">
        <v>44.743000000000002</v>
      </c>
      <c r="H30" s="35">
        <f t="shared" si="0"/>
        <v>9.2201014683861171</v>
      </c>
      <c r="I30" s="25">
        <v>248.761</v>
      </c>
      <c r="J30" s="35">
        <f t="shared" si="1"/>
        <v>0.83822222936875157</v>
      </c>
      <c r="K30" s="25"/>
    </row>
    <row r="31" spans="2:11" s="19" customFormat="1" x14ac:dyDescent="0.25">
      <c r="B31" s="19" t="s">
        <v>94</v>
      </c>
      <c r="F31" s="20">
        <v>913.15899999999999</v>
      </c>
      <c r="G31" s="25">
        <v>902.81500000000005</v>
      </c>
      <c r="H31" s="35">
        <f t="shared" si="0"/>
        <v>1.145749682936148E-2</v>
      </c>
      <c r="I31" s="25">
        <v>887.40800000000002</v>
      </c>
      <c r="J31" s="35">
        <f t="shared" si="1"/>
        <v>2.9018219353442731E-2</v>
      </c>
      <c r="K31" s="25"/>
    </row>
    <row r="32" spans="2:11" s="19" customFormat="1" x14ac:dyDescent="0.25">
      <c r="B32" s="19" t="s">
        <v>95</v>
      </c>
      <c r="F32" s="20">
        <v>163.559</v>
      </c>
      <c r="G32" s="25">
        <v>218.07599999999999</v>
      </c>
      <c r="H32" s="35">
        <f t="shared" si="0"/>
        <v>-0.24999082888534274</v>
      </c>
      <c r="I32" s="25">
        <v>174.07900000000001</v>
      </c>
      <c r="J32" s="35">
        <f t="shared" si="1"/>
        <v>-6.0432332446762715E-2</v>
      </c>
      <c r="K32" s="25"/>
    </row>
    <row r="33" spans="2:11" s="19" customFormat="1" x14ac:dyDescent="0.25">
      <c r="B33" s="19" t="s">
        <v>22</v>
      </c>
      <c r="F33" s="20">
        <v>514.51800000000003</v>
      </c>
      <c r="G33" s="25">
        <v>499.01</v>
      </c>
      <c r="H33" s="35">
        <f t="shared" si="0"/>
        <v>3.1077533516362443E-2</v>
      </c>
      <c r="I33" s="25">
        <v>514.52200000000005</v>
      </c>
      <c r="J33" s="35">
        <f t="shared" si="1"/>
        <v>-7.7742059620966586E-6</v>
      </c>
      <c r="K33" s="25"/>
    </row>
    <row r="34" spans="2:11" s="19" customFormat="1" x14ac:dyDescent="0.25">
      <c r="B34" s="19" t="s">
        <v>96</v>
      </c>
      <c r="F34" s="20">
        <v>53.738999999999997</v>
      </c>
      <c r="G34" s="25">
        <v>54.454999999999998</v>
      </c>
      <c r="H34" s="35">
        <f t="shared" si="0"/>
        <v>-1.3148471214764479E-2</v>
      </c>
      <c r="I34" s="25">
        <v>48.634999999999998</v>
      </c>
      <c r="J34" s="35">
        <f t="shared" si="1"/>
        <v>0.10494499845790073</v>
      </c>
      <c r="K34" s="25"/>
    </row>
    <row r="35" spans="2:11" s="19" customFormat="1" x14ac:dyDescent="0.25">
      <c r="B35" s="19" t="s">
        <v>97</v>
      </c>
      <c r="F35" s="20">
        <v>1007.8630000000001</v>
      </c>
      <c r="G35" s="25">
        <v>1039.3489999999999</v>
      </c>
      <c r="H35" s="35">
        <f t="shared" si="0"/>
        <v>-3.0293962855595047E-2</v>
      </c>
      <c r="I35" s="25">
        <v>1015.2859999999999</v>
      </c>
      <c r="J35" s="35">
        <f t="shared" si="1"/>
        <v>-7.3112403795579928E-3</v>
      </c>
      <c r="K35" s="25"/>
    </row>
    <row r="36" spans="2:11" s="19" customFormat="1" x14ac:dyDescent="0.25">
      <c r="B36" s="19" t="s">
        <v>98</v>
      </c>
      <c r="F36" s="20">
        <v>360.01799999999997</v>
      </c>
      <c r="G36" s="25">
        <v>350.71499999999997</v>
      </c>
      <c r="H36" s="35">
        <f t="shared" si="0"/>
        <v>2.6525811556391998E-2</v>
      </c>
      <c r="I36" s="25">
        <v>357.15800000000002</v>
      </c>
      <c r="J36" s="35">
        <f t="shared" si="1"/>
        <v>8.0076604751957436E-3</v>
      </c>
      <c r="K36" s="25"/>
    </row>
    <row r="37" spans="2:11" s="19" customFormat="1" x14ac:dyDescent="0.25">
      <c r="B37" s="19" t="s">
        <v>99</v>
      </c>
      <c r="F37" s="20">
        <v>1987.9269999999999</v>
      </c>
      <c r="G37" s="25">
        <v>1943.117</v>
      </c>
      <c r="H37" s="35">
        <f t="shared" si="0"/>
        <v>2.3060886194706809E-2</v>
      </c>
      <c r="I37" s="25">
        <v>1960.893</v>
      </c>
      <c r="J37" s="35">
        <f t="shared" si="1"/>
        <v>1.3786575810102786E-2</v>
      </c>
      <c r="K37" s="25"/>
    </row>
    <row r="38" spans="2:11" s="6" customFormat="1" ht="17.25" x14ac:dyDescent="0.3">
      <c r="B38" s="19" t="s">
        <v>100</v>
      </c>
      <c r="C38" s="19"/>
      <c r="D38" s="19"/>
      <c r="E38" s="19"/>
      <c r="F38" s="20">
        <v>210.85599999999999</v>
      </c>
      <c r="G38" s="25">
        <v>344.76100000000002</v>
      </c>
      <c r="H38" s="35">
        <f t="shared" si="0"/>
        <v>-0.38839949994343914</v>
      </c>
      <c r="I38" s="25">
        <v>252.76</v>
      </c>
      <c r="J38" s="35">
        <f t="shared" si="1"/>
        <v>-0.16578572558949201</v>
      </c>
      <c r="K38" s="40"/>
    </row>
    <row r="39" spans="2:11" s="19" customFormat="1" ht="17.25" x14ac:dyDescent="0.3">
      <c r="B39" s="6" t="s">
        <v>101</v>
      </c>
      <c r="C39" s="6"/>
      <c r="D39" s="6"/>
      <c r="E39" s="6"/>
      <c r="F39" s="18">
        <f>+F15+F16+F20+F23+F26+F30+F31+F32+F33+F34+F35+F36+F37+F38</f>
        <v>57147.984000000004</v>
      </c>
      <c r="G39" s="40">
        <f>+G15+G16+G20+G23+G26+G30+G31+G32+G33+G34+G35+G36+G37+G38</f>
        <v>57117.916000000005</v>
      </c>
      <c r="H39" s="39">
        <f t="shared" si="0"/>
        <v>5.2641976643541533E-4</v>
      </c>
      <c r="I39" s="40">
        <f>+I15+I16+I20+I23+I26+I30+I31+I32+I33+I34+I35+I36+I37+I38</f>
        <v>57441.741000000002</v>
      </c>
      <c r="J39" s="39">
        <f t="shared" si="1"/>
        <v>-5.1139988949847615E-3</v>
      </c>
      <c r="K39" s="25"/>
    </row>
    <row r="40" spans="2:11" s="19" customFormat="1" x14ac:dyDescent="0.25">
      <c r="B40" s="19" t="s">
        <v>102</v>
      </c>
      <c r="F40" s="20">
        <v>74.182000000000002</v>
      </c>
      <c r="G40" s="25">
        <v>131.49700000000001</v>
      </c>
      <c r="H40" s="35">
        <f t="shared" si="0"/>
        <v>-0.43586545700662382</v>
      </c>
      <c r="I40" s="25">
        <v>83.364000000000004</v>
      </c>
      <c r="J40" s="35">
        <f t="shared" si="1"/>
        <v>-0.11014346720406887</v>
      </c>
      <c r="K40" s="25"/>
    </row>
    <row r="41" spans="2:11" s="21" customFormat="1" x14ac:dyDescent="0.25">
      <c r="B41" s="19" t="s">
        <v>103</v>
      </c>
      <c r="C41" s="19"/>
      <c r="D41" s="19"/>
      <c r="E41" s="19"/>
      <c r="F41" s="20">
        <f>+F42+F43+F44+F45+F46</f>
        <v>49792.752999999997</v>
      </c>
      <c r="G41" s="25">
        <f>+G42+G43+G44+G45+G46</f>
        <v>49757.092999999993</v>
      </c>
      <c r="H41" s="35">
        <f t="shared" si="0"/>
        <v>7.1668174022954112E-4</v>
      </c>
      <c r="I41" s="25">
        <f>+I42+I43+I44+I45+I46</f>
        <v>50063.009000000005</v>
      </c>
      <c r="J41" s="35">
        <f t="shared" si="1"/>
        <v>-5.3983171486957637E-3</v>
      </c>
      <c r="K41" s="23"/>
    </row>
    <row r="42" spans="2:11" s="21" customFormat="1" x14ac:dyDescent="0.25">
      <c r="B42" s="21" t="s">
        <v>104</v>
      </c>
      <c r="F42" s="22">
        <v>3976.145</v>
      </c>
      <c r="G42" s="23">
        <v>4000.57</v>
      </c>
      <c r="H42" s="35">
        <f t="shared" si="0"/>
        <v>-6.1053799833523659E-3</v>
      </c>
      <c r="I42" s="23">
        <v>3980.1550000000002</v>
      </c>
      <c r="J42" s="35">
        <f t="shared" si="1"/>
        <v>-1.007498451693567E-3</v>
      </c>
      <c r="K42" s="23"/>
    </row>
    <row r="43" spans="2:11" s="21" customFormat="1" x14ac:dyDescent="0.25">
      <c r="B43" s="21" t="s">
        <v>105</v>
      </c>
      <c r="F43" s="22">
        <v>474.16300000000001</v>
      </c>
      <c r="G43" s="23">
        <v>908.63400000000001</v>
      </c>
      <c r="H43" s="35">
        <f t="shared" si="0"/>
        <v>-0.4781584224231098</v>
      </c>
      <c r="I43" s="23">
        <v>479.25700000000001</v>
      </c>
      <c r="J43" s="35">
        <f t="shared" si="1"/>
        <v>-1.0628952733084729E-2</v>
      </c>
      <c r="K43" s="23"/>
    </row>
    <row r="44" spans="2:11" s="21" customFormat="1" x14ac:dyDescent="0.25">
      <c r="B44" s="21" t="s">
        <v>26</v>
      </c>
      <c r="F44" s="22">
        <v>41707.294999999998</v>
      </c>
      <c r="G44" s="23">
        <v>40880.476000000002</v>
      </c>
      <c r="H44" s="35">
        <f t="shared" si="0"/>
        <v>2.0225278198815477E-2</v>
      </c>
      <c r="I44" s="23">
        <v>41812.552000000003</v>
      </c>
      <c r="J44" s="35">
        <f t="shared" si="1"/>
        <v>-2.5173541189259518E-3</v>
      </c>
      <c r="K44" s="23"/>
    </row>
    <row r="45" spans="2:11" s="21" customFormat="1" x14ac:dyDescent="0.25">
      <c r="B45" s="21" t="s">
        <v>106</v>
      </c>
      <c r="F45" s="22">
        <v>3090.192</v>
      </c>
      <c r="G45" s="23">
        <v>3267.8589999999999</v>
      </c>
      <c r="H45" s="35">
        <f t="shared" si="0"/>
        <v>-5.4368012818178491E-2</v>
      </c>
      <c r="I45" s="23">
        <v>3138.9430000000002</v>
      </c>
      <c r="J45" s="35">
        <f t="shared" si="1"/>
        <v>-1.553102429703257E-2</v>
      </c>
      <c r="K45" s="23"/>
    </row>
    <row r="46" spans="2:11" x14ac:dyDescent="0.25">
      <c r="B46" s="21" t="s">
        <v>107</v>
      </c>
      <c r="C46" s="21"/>
      <c r="D46" s="21"/>
      <c r="E46" s="21"/>
      <c r="F46" s="22">
        <v>544.95799999999997</v>
      </c>
      <c r="G46" s="23">
        <v>699.55399999999997</v>
      </c>
      <c r="H46" s="35">
        <f t="shared" si="0"/>
        <v>-0.22099223219365483</v>
      </c>
      <c r="I46" s="23">
        <v>652.10199999999998</v>
      </c>
      <c r="J46" s="35">
        <f t="shared" si="1"/>
        <v>-0.16430558409573959</v>
      </c>
      <c r="K46" s="11"/>
    </row>
    <row r="47" spans="2:11" x14ac:dyDescent="0.25">
      <c r="B47" s="1" t="s">
        <v>95</v>
      </c>
      <c r="F47" s="22">
        <v>147.32900000000001</v>
      </c>
      <c r="G47" s="11">
        <v>163.66</v>
      </c>
      <c r="H47" s="35">
        <f t="shared" si="0"/>
        <v>-9.9786142001710765E-2</v>
      </c>
      <c r="I47" s="11">
        <v>148.846</v>
      </c>
      <c r="J47" s="35">
        <f t="shared" si="1"/>
        <v>-1.0191741800249843E-2</v>
      </c>
      <c r="K47" s="11"/>
    </row>
    <row r="48" spans="2:11" x14ac:dyDescent="0.25">
      <c r="B48" s="19" t="s">
        <v>108</v>
      </c>
      <c r="F48" s="22">
        <v>610.87900000000002</v>
      </c>
      <c r="G48" s="11">
        <v>634.52300000000002</v>
      </c>
      <c r="H48" s="35">
        <f t="shared" si="0"/>
        <v>-3.7262636657772852E-2</v>
      </c>
      <c r="I48" s="11">
        <v>626.85400000000004</v>
      </c>
      <c r="J48" s="35">
        <f t="shared" si="1"/>
        <v>-2.5484403066742822E-2</v>
      </c>
      <c r="K48" s="11"/>
    </row>
    <row r="49" spans="2:11" x14ac:dyDescent="0.25">
      <c r="B49" s="1" t="s">
        <v>109</v>
      </c>
      <c r="F49" s="22">
        <v>553.42399999999998</v>
      </c>
      <c r="G49" s="11">
        <v>591.06100000000004</v>
      </c>
      <c r="H49" s="35">
        <f t="shared" si="0"/>
        <v>-6.3677014724368597E-2</v>
      </c>
      <c r="I49" s="11">
        <v>566.24</v>
      </c>
      <c r="J49" s="35">
        <f t="shared" si="1"/>
        <v>-2.2633512291607816E-2</v>
      </c>
      <c r="K49" s="11"/>
    </row>
    <row r="50" spans="2:11" x14ac:dyDescent="0.25">
      <c r="B50" s="19" t="s">
        <v>110</v>
      </c>
      <c r="F50" s="22">
        <v>269.447</v>
      </c>
      <c r="G50" s="11">
        <v>256.661</v>
      </c>
      <c r="H50" s="35">
        <f t="shared" si="0"/>
        <v>4.9816684264457844E-2</v>
      </c>
      <c r="I50" s="11">
        <v>269.11</v>
      </c>
      <c r="J50" s="35">
        <f t="shared" si="1"/>
        <v>1.2522760209578987E-3</v>
      </c>
      <c r="K50" s="11"/>
    </row>
    <row r="51" spans="2:11" s="6" customFormat="1" ht="17.25" x14ac:dyDescent="0.3">
      <c r="B51" s="19" t="s">
        <v>111</v>
      </c>
      <c r="C51" s="1"/>
      <c r="D51" s="1"/>
      <c r="E51" s="1"/>
      <c r="F51" s="22">
        <v>198.15899999999999</v>
      </c>
      <c r="G51" s="11">
        <v>162.03299999999999</v>
      </c>
      <c r="H51" s="35">
        <f t="shared" si="0"/>
        <v>0.22295458332561879</v>
      </c>
      <c r="I51" s="11">
        <v>214.983</v>
      </c>
      <c r="J51" s="35">
        <f t="shared" si="1"/>
        <v>-7.8257350581208751E-2</v>
      </c>
      <c r="K51" s="40"/>
    </row>
    <row r="52" spans="2:11" ht="17.25" x14ac:dyDescent="0.3">
      <c r="B52" s="6" t="s">
        <v>112</v>
      </c>
      <c r="C52" s="6"/>
      <c r="D52" s="6"/>
      <c r="E52" s="6"/>
      <c r="F52" s="18">
        <f>+F40+F41+F47+F48+F49+F50+F51</f>
        <v>51646.172999999995</v>
      </c>
      <c r="G52" s="40">
        <f>+G40+G41+G47+G48+G49+G50+G51</f>
        <v>51696.528000000006</v>
      </c>
      <c r="H52" s="39">
        <f t="shared" si="0"/>
        <v>-9.7404994006577983E-4</v>
      </c>
      <c r="I52" s="40">
        <f>+I40+I41+I47+I48+I49+I50+I51</f>
        <v>51972.406000000003</v>
      </c>
      <c r="J52" s="39">
        <f t="shared" si="1"/>
        <v>-6.2770424751935616E-3</v>
      </c>
      <c r="K52" s="25"/>
    </row>
    <row r="53" spans="2:11" x14ac:dyDescent="0.25">
      <c r="B53" s="19" t="s">
        <v>32</v>
      </c>
      <c r="C53" s="19"/>
      <c r="D53" s="19"/>
      <c r="E53" s="19"/>
      <c r="F53" s="20">
        <v>5184.5290000000005</v>
      </c>
      <c r="G53" s="25">
        <v>4965.7520000000004</v>
      </c>
      <c r="H53" s="35">
        <f t="shared" si="0"/>
        <v>4.405717401916176E-2</v>
      </c>
      <c r="I53" s="25">
        <v>5031.6080000000002</v>
      </c>
      <c r="J53" s="35">
        <f t="shared" si="1"/>
        <v>3.0392073468362479E-2</v>
      </c>
      <c r="K53" s="25"/>
    </row>
    <row r="54" spans="2:11" x14ac:dyDescent="0.25">
      <c r="B54" s="19" t="s">
        <v>113</v>
      </c>
      <c r="C54" s="19"/>
      <c r="D54" s="19"/>
      <c r="E54" s="19"/>
      <c r="F54" s="20">
        <v>308.971</v>
      </c>
      <c r="G54" s="25">
        <v>442.476</v>
      </c>
      <c r="H54" s="35">
        <f t="shared" si="0"/>
        <v>-0.30172257930373625</v>
      </c>
      <c r="I54" s="25">
        <v>429.12099999999998</v>
      </c>
      <c r="J54" s="35">
        <f t="shared" si="1"/>
        <v>-0.27999095826118969</v>
      </c>
      <c r="K54" s="25"/>
    </row>
    <row r="55" spans="2:11" s="6" customFormat="1" ht="17.25" x14ac:dyDescent="0.3">
      <c r="B55" s="19" t="s">
        <v>114</v>
      </c>
      <c r="C55" s="19"/>
      <c r="D55" s="19"/>
      <c r="E55" s="19"/>
      <c r="F55" s="20">
        <v>8.3109999999999999</v>
      </c>
      <c r="G55" s="25">
        <v>13.16</v>
      </c>
      <c r="H55" s="35">
        <f t="shared" si="0"/>
        <v>-0.36846504559270521</v>
      </c>
      <c r="I55" s="25">
        <v>8.6059999999999999</v>
      </c>
      <c r="J55" s="35">
        <f t="shared" si="1"/>
        <v>-3.4278410411340943E-2</v>
      </c>
      <c r="K55" s="27"/>
    </row>
    <row r="56" spans="2:11" s="6" customFormat="1" ht="17.25" x14ac:dyDescent="0.3">
      <c r="B56" s="6" t="s">
        <v>115</v>
      </c>
      <c r="F56" s="18">
        <f>+SUM(F53:F55)</f>
        <v>5501.8109999999997</v>
      </c>
      <c r="G56" s="27">
        <f>+SUM(G53:G55)</f>
        <v>5421.3879999999999</v>
      </c>
      <c r="H56" s="39">
        <f t="shared" si="0"/>
        <v>1.4834392963573029E-2</v>
      </c>
      <c r="I56" s="27">
        <f>+SUM(I53:I55)</f>
        <v>5469.335</v>
      </c>
      <c r="J56" s="39">
        <f t="shared" si="1"/>
        <v>5.9378333929078764E-3</v>
      </c>
      <c r="K56" s="27"/>
    </row>
    <row r="57" spans="2:11" ht="17.25" x14ac:dyDescent="0.3">
      <c r="B57" s="6" t="s">
        <v>116</v>
      </c>
      <c r="C57" s="6"/>
      <c r="D57" s="6"/>
      <c r="E57" s="6"/>
      <c r="F57" s="18">
        <f>+F52+F56</f>
        <v>57147.983999999997</v>
      </c>
      <c r="G57" s="27">
        <f>+G52+G56</f>
        <v>57117.916000000005</v>
      </c>
      <c r="H57" s="39">
        <f t="shared" si="0"/>
        <v>5.2641976643541533E-4</v>
      </c>
      <c r="I57" s="27">
        <f>+I52+I56</f>
        <v>57441.741000000002</v>
      </c>
      <c r="J57" s="39">
        <f t="shared" si="1"/>
        <v>-5.1139988949848725E-3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117</v>
      </c>
    </row>
    <row r="12" spans="2:9" ht="17.25" x14ac:dyDescent="0.3">
      <c r="B12" s="6" t="s">
        <v>17</v>
      </c>
      <c r="G12" s="4"/>
    </row>
    <row r="13" spans="2:9" x14ac:dyDescent="0.25">
      <c r="B13" s="73" t="s">
        <v>18</v>
      </c>
      <c r="G13" s="4"/>
    </row>
    <row r="14" spans="2:9" x14ac:dyDescent="0.25">
      <c r="B14" s="7"/>
      <c r="C14" s="7"/>
      <c r="D14" s="7"/>
      <c r="E14" s="7"/>
      <c r="F14" s="8" t="s">
        <v>34</v>
      </c>
      <c r="G14" s="9" t="s">
        <v>35</v>
      </c>
      <c r="H14" s="9" t="s">
        <v>0</v>
      </c>
    </row>
    <row r="15" spans="2:9" x14ac:dyDescent="0.25">
      <c r="B15" s="1" t="s">
        <v>26</v>
      </c>
      <c r="F15" s="10">
        <f>+'Balance sheet'!F44</f>
        <v>41707.294999999998</v>
      </c>
      <c r="G15" s="11">
        <f>+'Balance sheet'!$G$44</f>
        <v>40880.476000000002</v>
      </c>
      <c r="H15" s="35">
        <f>IF(ISERROR($F15/G15),"-",$F15/G15-1)</f>
        <v>2.0225278198815477E-2</v>
      </c>
      <c r="I15" s="12"/>
    </row>
    <row r="16" spans="2:9" s="5" customFormat="1" x14ac:dyDescent="0.25">
      <c r="B16" s="5" t="s">
        <v>118</v>
      </c>
      <c r="F16" s="17">
        <f>+'KF-B'!E24</f>
        <v>40220.872779140002</v>
      </c>
      <c r="G16" s="37">
        <f>+'KF-B'!F24</f>
        <v>38998.233978889999</v>
      </c>
      <c r="H16" s="38">
        <f t="shared" ref="H16:H25" si="0">IF(ISERROR($F16/G16),"-",$F16/G16-1)</f>
        <v>3.1351132487482003E-2</v>
      </c>
    </row>
    <row r="17" spans="2:11" x14ac:dyDescent="0.25">
      <c r="B17" s="1" t="s">
        <v>119</v>
      </c>
      <c r="F17" s="10">
        <v>2336.7860000000001</v>
      </c>
      <c r="G17" s="11">
        <v>2011.03</v>
      </c>
      <c r="H17" s="35">
        <f t="shared" si="0"/>
        <v>0.16198465462971723</v>
      </c>
    </row>
    <row r="18" spans="2:11" x14ac:dyDescent="0.25">
      <c r="B18" s="1" t="s">
        <v>120</v>
      </c>
      <c r="F18" s="10">
        <f>+F16-F17</f>
        <v>37884.086779140001</v>
      </c>
      <c r="G18" s="11">
        <f>+G16-G17</f>
        <v>36987.20397889</v>
      </c>
      <c r="H18" s="35">
        <f t="shared" si="0"/>
        <v>2.4248461731843474E-2</v>
      </c>
    </row>
    <row r="19" spans="2:11" s="21" customFormat="1" x14ac:dyDescent="0.25">
      <c r="B19" s="21" t="s">
        <v>121</v>
      </c>
      <c r="F19" s="22">
        <v>26796.756000000001</v>
      </c>
      <c r="G19" s="23">
        <v>23789.755000000001</v>
      </c>
      <c r="H19" s="41">
        <f t="shared" si="0"/>
        <v>0.12639898981725528</v>
      </c>
    </row>
    <row r="20" spans="2:11" s="21" customFormat="1" x14ac:dyDescent="0.25">
      <c r="B20" s="21" t="s">
        <v>122</v>
      </c>
      <c r="F20" s="22">
        <v>10297.88114695</v>
      </c>
      <c r="G20" s="23">
        <v>11889.503008449999</v>
      </c>
      <c r="H20" s="41">
        <f t="shared" si="0"/>
        <v>-0.13386782108291795</v>
      </c>
    </row>
    <row r="21" spans="2:11" s="21" customFormat="1" x14ac:dyDescent="0.25">
      <c r="B21" s="21" t="s">
        <v>123</v>
      </c>
      <c r="F21" s="22">
        <v>787.75099999999998</v>
      </c>
      <c r="G21" s="23">
        <v>1294.567</v>
      </c>
      <c r="H21" s="41">
        <f t="shared" si="0"/>
        <v>-0.39149460784957446</v>
      </c>
      <c r="K21" s="64"/>
    </row>
    <row r="22" spans="2:11" x14ac:dyDescent="0.25">
      <c r="B22" s="1" t="s">
        <v>10</v>
      </c>
      <c r="F22" s="10">
        <v>28992.598999999998</v>
      </c>
      <c r="G22" s="11">
        <v>25657.411</v>
      </c>
      <c r="H22" s="35">
        <f t="shared" si="0"/>
        <v>0.12998926508991882</v>
      </c>
    </row>
    <row r="23" spans="2:11" x14ac:dyDescent="0.25">
      <c r="B23" s="1" t="s">
        <v>11</v>
      </c>
      <c r="F23" s="10">
        <v>11226.575146949999</v>
      </c>
      <c r="G23" s="11">
        <v>13321.10600845</v>
      </c>
      <c r="H23" s="35">
        <f t="shared" si="0"/>
        <v>-0.15723400595801684</v>
      </c>
    </row>
    <row r="24" spans="2:11" x14ac:dyDescent="0.25">
      <c r="B24" s="1" t="s">
        <v>124</v>
      </c>
      <c r="F24" s="10">
        <f>+'KF-B'!E25</f>
        <v>19461.609094179999</v>
      </c>
      <c r="G24" s="11">
        <f>+'KF-B'!F25</f>
        <v>17869.002059859999</v>
      </c>
      <c r="H24" s="35">
        <f t="shared" si="0"/>
        <v>8.9126803443464242E-2</v>
      </c>
    </row>
    <row r="25" spans="2:11" s="5" customFormat="1" x14ac:dyDescent="0.25">
      <c r="B25" s="5" t="s">
        <v>30</v>
      </c>
      <c r="F25" s="17">
        <f>+F24+F16</f>
        <v>59682.481873320001</v>
      </c>
      <c r="G25" s="37">
        <f>+G24+G16</f>
        <v>56867.236038749994</v>
      </c>
      <c r="H25" s="38">
        <f t="shared" si="0"/>
        <v>4.9505585828923726E-2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33</v>
      </c>
      <c r="G33" s="4"/>
    </row>
    <row r="34" spans="2:8" x14ac:dyDescent="0.25">
      <c r="B34" s="73" t="s">
        <v>18</v>
      </c>
      <c r="G34" s="4"/>
    </row>
    <row r="35" spans="2:8" x14ac:dyDescent="0.25">
      <c r="B35" s="7"/>
      <c r="C35" s="7"/>
      <c r="D35" s="7"/>
      <c r="E35" s="7"/>
      <c r="F35" s="8" t="s">
        <v>34</v>
      </c>
      <c r="G35" s="9" t="s">
        <v>36</v>
      </c>
      <c r="H35" s="9" t="s">
        <v>0</v>
      </c>
    </row>
    <row r="36" spans="2:8" x14ac:dyDescent="0.25">
      <c r="B36" s="1" t="s">
        <v>26</v>
      </c>
      <c r="F36" s="10">
        <f>+F15</f>
        <v>41707.294999999998</v>
      </c>
      <c r="G36" s="11">
        <f>+'Balance sheet'!$I$44</f>
        <v>41812.552000000003</v>
      </c>
      <c r="H36" s="35">
        <f>IF(ISERROR($F36/G36),"-",$F36/G36-1)</f>
        <v>-2.5173541189259518E-3</v>
      </c>
    </row>
    <row r="37" spans="2:8" x14ac:dyDescent="0.25">
      <c r="B37" s="5" t="s">
        <v>118</v>
      </c>
      <c r="C37" s="5"/>
      <c r="D37" s="5"/>
      <c r="E37" s="5"/>
      <c r="F37" s="17">
        <f t="shared" ref="F37:F46" si="1">+F16</f>
        <v>40220.872779140002</v>
      </c>
      <c r="G37" s="37">
        <f>+'KF-B'!F46</f>
        <v>40126.572334540004</v>
      </c>
      <c r="H37" s="38">
        <f t="shared" ref="H37:H46" si="2">IF(ISERROR($F37/G37),"-",$F37/G37-1)</f>
        <v>2.3500747538016675E-3</v>
      </c>
    </row>
    <row r="38" spans="2:8" x14ac:dyDescent="0.25">
      <c r="B38" s="1" t="s">
        <v>119</v>
      </c>
      <c r="F38" s="10">
        <f t="shared" si="1"/>
        <v>2336.7860000000001</v>
      </c>
      <c r="G38" s="11">
        <v>1882.0250000000001</v>
      </c>
      <c r="H38" s="35">
        <f t="shared" si="2"/>
        <v>0.24163387840225292</v>
      </c>
    </row>
    <row r="39" spans="2:8" x14ac:dyDescent="0.25">
      <c r="B39" s="1" t="s">
        <v>120</v>
      </c>
      <c r="F39" s="10">
        <f t="shared" si="1"/>
        <v>37884.086779140001</v>
      </c>
      <c r="G39" s="11">
        <f>+G37-G38</f>
        <v>38244.547334540002</v>
      </c>
      <c r="H39" s="35">
        <f t="shared" si="2"/>
        <v>-9.4251489564489699E-3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26796.756000000001</v>
      </c>
      <c r="G40" s="23">
        <v>26449.767</v>
      </c>
      <c r="H40" s="41">
        <f t="shared" si="2"/>
        <v>1.3118792312990957E-2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10297.88114695</v>
      </c>
      <c r="G41" s="23">
        <v>10668.679146949999</v>
      </c>
      <c r="H41" s="41">
        <f t="shared" si="2"/>
        <v>-3.4755755130756127E-2</v>
      </c>
    </row>
    <row r="42" spans="2:8" x14ac:dyDescent="0.25">
      <c r="B42" s="21" t="s">
        <v>123</v>
      </c>
      <c r="C42" s="21"/>
      <c r="D42" s="21"/>
      <c r="E42" s="21"/>
      <c r="F42" s="22">
        <f t="shared" si="1"/>
        <v>787.75099999999998</v>
      </c>
      <c r="G42" s="23">
        <v>1123.5409999999999</v>
      </c>
      <c r="H42" s="41">
        <f t="shared" si="2"/>
        <v>-0.29886759806718222</v>
      </c>
    </row>
    <row r="43" spans="2:8" x14ac:dyDescent="0.25">
      <c r="B43" s="1" t="s">
        <v>10</v>
      </c>
      <c r="F43" s="10">
        <f t="shared" si="1"/>
        <v>28992.598999999998</v>
      </c>
      <c r="G43" s="11">
        <v>28220.588</v>
      </c>
      <c r="H43" s="35">
        <f t="shared" si="2"/>
        <v>2.7356304553257216E-2</v>
      </c>
    </row>
    <row r="44" spans="2:8" x14ac:dyDescent="0.25">
      <c r="B44" s="1" t="s">
        <v>11</v>
      </c>
      <c r="F44" s="10">
        <f t="shared" si="1"/>
        <v>11226.575146949999</v>
      </c>
      <c r="G44" s="11">
        <v>11903.424146949998</v>
      </c>
      <c r="H44" s="35">
        <f t="shared" si="2"/>
        <v>-5.6861705644037475E-2</v>
      </c>
    </row>
    <row r="45" spans="2:8" x14ac:dyDescent="0.25">
      <c r="B45" s="1" t="s">
        <v>124</v>
      </c>
      <c r="F45" s="10">
        <f t="shared" si="1"/>
        <v>19461.609094179999</v>
      </c>
      <c r="G45" s="11">
        <f>+'KF-B'!F47</f>
        <v>19267.462245180002</v>
      </c>
      <c r="H45" s="35">
        <f t="shared" si="2"/>
        <v>1.0076409987442192E-2</v>
      </c>
    </row>
    <row r="46" spans="2:8" x14ac:dyDescent="0.25">
      <c r="B46" s="5" t="s">
        <v>30</v>
      </c>
      <c r="C46" s="5"/>
      <c r="D46" s="5"/>
      <c r="E46" s="5"/>
      <c r="F46" s="17">
        <f t="shared" si="1"/>
        <v>59682.481873320001</v>
      </c>
      <c r="G46" s="37">
        <f>+G45+G37</f>
        <v>59394.034579720006</v>
      </c>
      <c r="H46" s="38">
        <f t="shared" si="2"/>
        <v>4.8565027723925791E-3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x14ac:dyDescent="0.25">
      <c r="B14" s="7"/>
      <c r="C14" s="7"/>
      <c r="D14" s="7"/>
      <c r="E14" s="7"/>
      <c r="F14" s="8" t="s">
        <v>34</v>
      </c>
      <c r="G14" s="9" t="s">
        <v>35</v>
      </c>
      <c r="H14" s="9" t="s">
        <v>0</v>
      </c>
    </row>
    <row r="15" spans="2:8" x14ac:dyDescent="0.25">
      <c r="B15" s="5" t="s">
        <v>23</v>
      </c>
      <c r="C15" s="5"/>
      <c r="D15" s="5"/>
      <c r="E15" s="5"/>
      <c r="F15" s="17">
        <f>+'Balance sheet'!F29</f>
        <v>41845.212</v>
      </c>
      <c r="G15" s="37">
        <f>+'Balance sheet'!G29</f>
        <v>42169.372000000003</v>
      </c>
      <c r="H15" s="68">
        <f>+F15/G15-1</f>
        <v>-7.6870957433277098E-3</v>
      </c>
    </row>
    <row r="16" spans="2:8" s="21" customFormat="1" x14ac:dyDescent="0.25">
      <c r="B16" s="21" t="s">
        <v>126</v>
      </c>
      <c r="F16" s="22">
        <v>42779.5</v>
      </c>
      <c r="G16" s="23">
        <v>43490.527999999998</v>
      </c>
      <c r="H16" s="26">
        <f t="shared" ref="H16:H23" si="0">+F16/G16-1</f>
        <v>-1.6349031218935717E-2</v>
      </c>
    </row>
    <row r="17" spans="2:8" x14ac:dyDescent="0.25">
      <c r="B17" s="1" t="s">
        <v>119</v>
      </c>
      <c r="F17" s="10">
        <v>2755.1220000000058</v>
      </c>
      <c r="G17" s="11">
        <v>2742.2390000000032</v>
      </c>
      <c r="H17" s="26">
        <f t="shared" si="0"/>
        <v>4.6979858429563315E-3</v>
      </c>
    </row>
    <row r="18" spans="2:8" x14ac:dyDescent="0.25">
      <c r="B18" s="1" t="s">
        <v>120</v>
      </c>
      <c r="F18" s="10">
        <v>40024.377999999997</v>
      </c>
      <c r="G18" s="11">
        <v>40748.288999999997</v>
      </c>
      <c r="H18" s="26">
        <f t="shared" si="0"/>
        <v>-1.7765433046771584E-2</v>
      </c>
    </row>
    <row r="19" spans="2:8" x14ac:dyDescent="0.25">
      <c r="B19" s="21" t="s">
        <v>127</v>
      </c>
      <c r="C19" s="21"/>
      <c r="D19" s="21"/>
      <c r="E19" s="21"/>
      <c r="F19" s="22">
        <v>32971.906000000003</v>
      </c>
      <c r="G19" s="23">
        <v>34054.837</v>
      </c>
      <c r="H19" s="66">
        <f t="shared" si="0"/>
        <v>-3.1799623648176567E-2</v>
      </c>
    </row>
    <row r="20" spans="2:8" x14ac:dyDescent="0.25">
      <c r="B20" s="21" t="s">
        <v>128</v>
      </c>
      <c r="C20" s="21"/>
      <c r="D20" s="21"/>
      <c r="E20" s="21"/>
      <c r="F20" s="22">
        <v>7052.4719999999943</v>
      </c>
      <c r="G20" s="23">
        <v>6693.4519999999975</v>
      </c>
      <c r="H20" s="66">
        <f t="shared" si="0"/>
        <v>5.3637495271497748E-2</v>
      </c>
    </row>
    <row r="21" spans="2:8" x14ac:dyDescent="0.25">
      <c r="B21" s="5" t="s">
        <v>129</v>
      </c>
      <c r="C21" s="5"/>
      <c r="D21" s="5"/>
      <c r="E21" s="5"/>
      <c r="F21" s="17">
        <v>31084.902999999998</v>
      </c>
      <c r="G21" s="37">
        <v>31392.618999999999</v>
      </c>
      <c r="H21" s="68">
        <f t="shared" si="0"/>
        <v>-9.8021767473430721E-3</v>
      </c>
    </row>
    <row r="22" spans="2:8" x14ac:dyDescent="0.25">
      <c r="B22" s="21" t="s">
        <v>127</v>
      </c>
      <c r="C22" s="21"/>
      <c r="D22" s="21"/>
      <c r="E22" s="21"/>
      <c r="F22" s="22">
        <v>29268.506000000001</v>
      </c>
      <c r="G22" s="23">
        <v>29682.144</v>
      </c>
      <c r="H22" s="66">
        <f t="shared" si="0"/>
        <v>-1.3935583628999271E-2</v>
      </c>
    </row>
    <row r="23" spans="2:8" x14ac:dyDescent="0.25">
      <c r="B23" s="21" t="s">
        <v>128</v>
      </c>
      <c r="C23" s="21"/>
      <c r="D23" s="21"/>
      <c r="E23" s="21"/>
      <c r="F23" s="22">
        <v>1816.3969999999972</v>
      </c>
      <c r="G23" s="23">
        <v>1710.4749999999985</v>
      </c>
      <c r="H23" s="66">
        <f t="shared" si="0"/>
        <v>6.1925488533886019E-2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33</v>
      </c>
      <c r="G30" s="4"/>
    </row>
    <row r="31" spans="2:8" x14ac:dyDescent="0.25">
      <c r="B31" s="73" t="s">
        <v>18</v>
      </c>
      <c r="G31" s="4"/>
    </row>
    <row r="32" spans="2:8" x14ac:dyDescent="0.25">
      <c r="B32" s="7"/>
      <c r="C32" s="7"/>
      <c r="D32" s="7"/>
      <c r="E32" s="7"/>
      <c r="F32" s="8" t="s">
        <v>34</v>
      </c>
      <c r="G32" s="9" t="s">
        <v>36</v>
      </c>
      <c r="H32" s="9" t="s">
        <v>0</v>
      </c>
    </row>
    <row r="33" spans="2:8" x14ac:dyDescent="0.25">
      <c r="B33" s="5" t="s">
        <v>23</v>
      </c>
      <c r="C33" s="5"/>
      <c r="D33" s="5"/>
      <c r="E33" s="5"/>
      <c r="F33" s="17">
        <f>+F15</f>
        <v>41845.212</v>
      </c>
      <c r="G33" s="37">
        <f>+'Balance sheet'!I29</f>
        <v>42006.373</v>
      </c>
      <c r="H33" s="68">
        <f>+F33/G33-1</f>
        <v>-3.8365845106408392E-3</v>
      </c>
    </row>
    <row r="34" spans="2:8" x14ac:dyDescent="0.25">
      <c r="B34" s="21" t="s">
        <v>126</v>
      </c>
      <c r="C34" s="21"/>
      <c r="D34" s="21"/>
      <c r="E34" s="21"/>
      <c r="F34" s="22">
        <f t="shared" ref="F34:F41" si="1">+F16</f>
        <v>42779.5</v>
      </c>
      <c r="G34" s="23">
        <v>42914.815000000002</v>
      </c>
      <c r="H34" s="26">
        <f t="shared" ref="H34:H41" si="2">+F34/G34-1</f>
        <v>-3.153106916574222E-3</v>
      </c>
    </row>
    <row r="35" spans="2:8" x14ac:dyDescent="0.25">
      <c r="B35" s="1" t="s">
        <v>119</v>
      </c>
      <c r="F35" s="10">
        <f t="shared" si="1"/>
        <v>2755.1220000000058</v>
      </c>
      <c r="G35" s="11">
        <v>2600.6370000000006</v>
      </c>
      <c r="H35" s="26">
        <f>+F35/G35-1</f>
        <v>5.9402754017575443E-2</v>
      </c>
    </row>
    <row r="36" spans="2:8" x14ac:dyDescent="0.25">
      <c r="B36" s="1" t="s">
        <v>120</v>
      </c>
      <c r="F36" s="10">
        <f t="shared" si="1"/>
        <v>40024.377999999997</v>
      </c>
      <c r="G36" s="11">
        <v>40314.178</v>
      </c>
      <c r="H36" s="26">
        <f t="shared" si="2"/>
        <v>-7.1885379878018352E-3</v>
      </c>
    </row>
    <row r="37" spans="2:8" x14ac:dyDescent="0.25">
      <c r="B37" s="21" t="s">
        <v>127</v>
      </c>
      <c r="C37" s="21"/>
      <c r="D37" s="21"/>
      <c r="E37" s="21"/>
      <c r="F37" s="22">
        <f t="shared" si="1"/>
        <v>32971.906000000003</v>
      </c>
      <c r="G37" s="23">
        <v>33079.622000000003</v>
      </c>
      <c r="H37" s="66">
        <f t="shared" si="2"/>
        <v>-3.2562645365173948E-3</v>
      </c>
    </row>
    <row r="38" spans="2:8" x14ac:dyDescent="0.25">
      <c r="B38" s="21" t="s">
        <v>128</v>
      </c>
      <c r="C38" s="21"/>
      <c r="D38" s="21"/>
      <c r="E38" s="21"/>
      <c r="F38" s="22">
        <f t="shared" si="1"/>
        <v>7052.4719999999943</v>
      </c>
      <c r="G38" s="23">
        <v>7234.5559999999969</v>
      </c>
      <c r="H38" s="66">
        <f t="shared" si="2"/>
        <v>-2.5168648912248792E-2</v>
      </c>
    </row>
    <row r="39" spans="2:8" x14ac:dyDescent="0.25">
      <c r="B39" s="5" t="s">
        <v>129</v>
      </c>
      <c r="C39" s="5"/>
      <c r="D39" s="5"/>
      <c r="E39" s="5"/>
      <c r="F39" s="17">
        <f t="shared" si="1"/>
        <v>31084.902999999998</v>
      </c>
      <c r="G39" s="37">
        <v>31073.803</v>
      </c>
      <c r="H39" s="68">
        <f t="shared" si="2"/>
        <v>3.5721408158506662E-4</v>
      </c>
    </row>
    <row r="40" spans="2:8" x14ac:dyDescent="0.25">
      <c r="B40" s="21" t="s">
        <v>127</v>
      </c>
      <c r="C40" s="21"/>
      <c r="D40" s="21"/>
      <c r="E40" s="21"/>
      <c r="F40" s="22">
        <f t="shared" si="1"/>
        <v>29268.506000000001</v>
      </c>
      <c r="G40" s="23">
        <v>29252.503000000001</v>
      </c>
      <c r="H40" s="66">
        <f t="shared" si="2"/>
        <v>5.4706429736972595E-4</v>
      </c>
    </row>
    <row r="41" spans="2:8" x14ac:dyDescent="0.25">
      <c r="B41" s="21" t="s">
        <v>128</v>
      </c>
      <c r="C41" s="21"/>
      <c r="D41" s="21"/>
      <c r="E41" s="21"/>
      <c r="F41" s="22">
        <f t="shared" si="1"/>
        <v>1816.3969999999972</v>
      </c>
      <c r="G41" s="23">
        <v>1821.2999999999993</v>
      </c>
      <c r="H41" s="66">
        <f t="shared" si="2"/>
        <v>-2.6920331631263839E-3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2018-12-05T11:08:32Z</dcterms:modified>
</cp:coreProperties>
</file>